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10188" firstSheet="1" activeTab="1"/>
  </bookViews>
  <sheets>
    <sheet name="4.Memo Table (2" sheetId="1" state="hidden" r:id="rId1"/>
    <sheet name="Table1." sheetId="2" r:id="rId2"/>
    <sheet name="1.Weights " sheetId="3" r:id="rId3"/>
    <sheet name="2.Statewide AgeAdjGrowth" sheetId="4" r:id="rId4"/>
    <sheet name="4.HospitalSpecificGrowthModels" sheetId="5" r:id="rId5"/>
    <sheet name="5.Example" sheetId="6" state="hidden" r:id="rId6"/>
    <sheet name="5.PAU All Payer CY14" sheetId="7" r:id="rId7"/>
    <sheet name="6.claritasvsDeptp" sheetId="8" r:id="rId8"/>
  </sheets>
  <externalReferences>
    <externalReference r:id="rId11"/>
  </externalReferences>
  <definedNames>
    <definedName name="_xlnm._FilterDatabase" localSheetId="4" hidden="1">'4.HospitalSpecificGrowthModels'!$A$2:$Y$56</definedName>
    <definedName name="_xlnm._FilterDatabase" localSheetId="1" hidden="1">'Table1.'!$A$3:$I$56</definedName>
    <definedName name="_xlnm.Print_Area" localSheetId="6">'5.PAU All Payer CY14'!$A$1:$W$53</definedName>
    <definedName name="_xlnm.Print_Titles" localSheetId="4">'4.HospitalSpecificGrowthModels'!$2:$2</definedName>
    <definedName name="_xlnm.Print_Titles" localSheetId="6">'5.PAU All Payer CY14'!$A:$C</definedName>
  </definedNames>
  <calcPr fullCalcOnLoad="1"/>
</workbook>
</file>

<file path=xl/sharedStrings.xml><?xml version="1.0" encoding="utf-8"?>
<sst xmlns="http://schemas.openxmlformats.org/spreadsheetml/2006/main" count="647" uniqueCount="293">
  <si>
    <t>Age group</t>
  </si>
  <si>
    <t>55-64</t>
  </si>
  <si>
    <t>65-74</t>
  </si>
  <si>
    <t>75-84</t>
  </si>
  <si>
    <t>85+</t>
  </si>
  <si>
    <t>Total</t>
  </si>
  <si>
    <t>Cohort</t>
  </si>
  <si>
    <t>Annual Population Change</t>
  </si>
  <si>
    <t>Weigthed Population Change</t>
  </si>
  <si>
    <t>Over 65</t>
  </si>
  <si>
    <t>Per Capita Revenue</t>
  </si>
  <si>
    <t>cohort</t>
  </si>
  <si>
    <t>Annual Growth Rate</t>
  </si>
  <si>
    <t>*Population is based on  Claritas Data</t>
  </si>
  <si>
    <t>Ageweight</t>
  </si>
  <si>
    <t>PAVWeight</t>
  </si>
  <si>
    <t>HOSPID_R</t>
  </si>
  <si>
    <t>ZIPCODE</t>
  </si>
  <si>
    <t>iP_visits</t>
  </si>
  <si>
    <t>CMI</t>
  </si>
  <si>
    <t>tot_CHG_IP</t>
  </si>
  <si>
    <t>OP_visits</t>
  </si>
  <si>
    <t>Tot_chg_op</t>
  </si>
  <si>
    <t>HospiP_visits</t>
  </si>
  <si>
    <t>HospCMI</t>
  </si>
  <si>
    <t>hosptotCMI</t>
  </si>
  <si>
    <t>hosptot_CHG_IP</t>
  </si>
  <si>
    <t>CMAD</t>
  </si>
  <si>
    <t>CPC_CMI</t>
  </si>
  <si>
    <t>ECMAD</t>
  </si>
  <si>
    <t>TOTMAD</t>
  </si>
  <si>
    <t>zipage</t>
  </si>
  <si>
    <t>15_54</t>
  </si>
  <si>
    <t>55_64</t>
  </si>
  <si>
    <t>0_14</t>
  </si>
  <si>
    <t>75_84</t>
  </si>
  <si>
    <t>65_74</t>
  </si>
  <si>
    <t>21702_age_0_14</t>
  </si>
  <si>
    <t>21702_age_15_54</t>
  </si>
  <si>
    <t>Hospital Population Growth based on Proportion of ECMADs by age and zipcode</t>
  </si>
  <si>
    <t>.</t>
  </si>
  <si>
    <t>ECMADS 2013-StateWide Calculation</t>
  </si>
  <si>
    <t>Hospital Proportion of ECMADS</t>
  </si>
  <si>
    <t>0-4</t>
  </si>
  <si>
    <t>5-14</t>
  </si>
  <si>
    <t>15-44</t>
  </si>
  <si>
    <t>Age Weigthed Growth Rate</t>
  </si>
  <si>
    <t>*Total Revenue is based on MD Residents only. (updated since the previous analysis)</t>
  </si>
  <si>
    <t>CALCULATE PAU ADJUSTED POPULATION GROWTH RATES BY ZIP CODE AND AGE COHORT</t>
  </si>
  <si>
    <t>CALCULATION OF HOSPITAL VOLUME by ZIPCODE AND AGE COHORT</t>
  </si>
  <si>
    <t>VOLUME AND PAU ADJUSTED POPULATION GROWTH</t>
  </si>
  <si>
    <t>NEW AGE COHORT CALCULATIONS</t>
  </si>
  <si>
    <t>HOSPID</t>
  </si>
  <si>
    <t>AGE COHORT</t>
  </si>
  <si>
    <t>ZIP CODE AGE COHORT</t>
  </si>
  <si>
    <t>Age Weight</t>
  </si>
  <si>
    <t>PAU Adjusted Age Weight</t>
  </si>
  <si>
    <t>Annual Population Growth Rate</t>
  </si>
  <si>
    <t>Age Adjusted Annual Growth Rate</t>
  </si>
  <si>
    <t>PAU &amp; AGE Adjusted Annual Growth Rate</t>
  </si>
  <si>
    <t>IP VISITS</t>
  </si>
  <si>
    <t>IP CHARGES</t>
  </si>
  <si>
    <t>CMI ADJUSTED INPATIENT VOLUME</t>
  </si>
  <si>
    <t>CMI ADJUSTED AVERAGE CHARGE PER CASE</t>
  </si>
  <si>
    <t>OUTPATIENT VISITS</t>
  </si>
  <si>
    <t>OP CHARGES</t>
  </si>
  <si>
    <t>EQUVIALENT Outpatient  Volume</t>
  </si>
  <si>
    <t>HOSPITAL TOTAL IP VISITS FOR EACH AGE COHORT</t>
  </si>
  <si>
    <t>HOSPITAL TOTAL IP CHARGE FOR EACH AGE COHORT</t>
  </si>
  <si>
    <t>HOSPITAL CMI FOR EACH AGE COHORT</t>
  </si>
  <si>
    <t>HOSPITAL CMI ADJUSTED CPC</t>
  </si>
  <si>
    <t>ECMAD USING HOSPITAL AVERAGE FOR ZIPCODE AGE COHORTS WITH NO INPATIENT VISITS</t>
  </si>
  <si>
    <t>ECMADS</t>
  </si>
  <si>
    <t xml:space="preserve">STATE TOTAL VOLUME FOR ZIPCODE AGE </t>
  </si>
  <si>
    <t>HOSPITAL'S MARKET SHARE</t>
  </si>
  <si>
    <t>HOSPITAL POPULATION CY2013</t>
  </si>
  <si>
    <t>HOSPITAL AGE &amp; PAU ADJUSTED POPULATION CY2014</t>
  </si>
  <si>
    <t xml:space="preserve"> AGE &amp; PAU ADJUSTED POPULATION GROWTH</t>
  </si>
  <si>
    <t>21702_age_0_4</t>
  </si>
  <si>
    <t>0_4</t>
  </si>
  <si>
    <t>21702_age_5_14</t>
  </si>
  <si>
    <t>5_14</t>
  </si>
  <si>
    <t>21702_age_15_44</t>
  </si>
  <si>
    <t>15_44</t>
  </si>
  <si>
    <t>21702_age_45_54</t>
  </si>
  <si>
    <t>45_54</t>
  </si>
  <si>
    <t>21702_age_55_64</t>
  </si>
  <si>
    <t>21702_age_65_74</t>
  </si>
  <si>
    <t>21702_age_75_84</t>
  </si>
  <si>
    <t>21702_age_85+</t>
  </si>
  <si>
    <t>TOTAL</t>
  </si>
  <si>
    <t>OLD AGE COHORT CALCULATIONS</t>
  </si>
  <si>
    <t>zipcode</t>
  </si>
  <si>
    <t>AnGrowth2013_18</t>
  </si>
  <si>
    <t>ageWeigthAnGr13_18</t>
  </si>
  <si>
    <t>PAVWeigthAnGr13_18</t>
  </si>
  <si>
    <t>TOTECMAD</t>
  </si>
  <si>
    <t>PCT_ROW</t>
  </si>
  <si>
    <t>Hospop13</t>
  </si>
  <si>
    <t>hospop14_PAVadjusted</t>
  </si>
  <si>
    <t>45-54</t>
  </si>
  <si>
    <t>2014 Population Growth</t>
  </si>
  <si>
    <t xml:space="preserve"> Department of Planning Growth</t>
  </si>
  <si>
    <t>Population Growth</t>
  </si>
  <si>
    <t>SCALED AGE ADJUSTED GROWTH</t>
  </si>
  <si>
    <t>Scaling Factor</t>
  </si>
  <si>
    <t>SCALED AGE &amp; PAU ADJUSTED GROWTH</t>
  </si>
  <si>
    <t>ALL PAYER- Volume</t>
  </si>
  <si>
    <t>ALLPAYER -$</t>
  </si>
  <si>
    <t>INPATIENT</t>
  </si>
  <si>
    <t>Hospital ID</t>
  </si>
  <si>
    <t>Hospital Name</t>
  </si>
  <si>
    <t>Payment Type</t>
  </si>
  <si>
    <t>PQIs</t>
  </si>
  <si>
    <t>PPCs</t>
  </si>
  <si>
    <t>%PQIs</t>
  </si>
  <si>
    <t>%Readmission</t>
  </si>
  <si>
    <t>% Total PAU</t>
  </si>
  <si>
    <t>%PQI</t>
  </si>
  <si>
    <t>% PPC</t>
  </si>
  <si>
    <t>Total Outpatient Charges</t>
  </si>
  <si>
    <t>MERITUS</t>
  </si>
  <si>
    <t>TPR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</si>
  <si>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</si>
  <si>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</si>
  <si>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</si>
  <si>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</si>
  <si>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</si>
  <si>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</si>
  <si>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</si>
  <si>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</si>
  <si>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</si>
  <si>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</si>
  <si>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</si>
  <si>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</si>
  <si>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</si>
  <si>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</si>
  <si>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</si>
  <si>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</si>
  <si>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</si>
  <si>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</si>
  <si>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</si>
  <si>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</si>
  <si>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UNION HOSPITAL  OF CECIL COUNT</t>
  </si>
  <si>
    <t>CARROLL COUNTY</t>
  </si>
  <si>
    <t>HARBOR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</si>
  <si>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</si>
  <si>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</si>
  <si>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</si>
  <si>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</si>
  <si>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</si>
  <si>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</si>
  <si>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</si>
  <si>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</si>
  <si>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</si>
  <si>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</si>
  <si>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</si>
  <si>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</si>
  <si>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</si>
  <si>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</si>
  <si>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STATEWIDE</t>
  </si>
  <si>
    <t/>
  </si>
  <si>
    <t>2014 Age&amp; PAU Adjusted POP Growth</t>
  </si>
  <si>
    <t>2015 Age Adjusted Growth</t>
  </si>
  <si>
    <t>Population 2015</t>
  </si>
  <si>
    <t>FY 13  Age Cost Weights</t>
  </si>
  <si>
    <t>Age Cost Weights</t>
  </si>
  <si>
    <t>2. Revenue Growth Estimates based on Age Adjusted Population Growth</t>
  </si>
  <si>
    <t>Hospital Population 2014</t>
  </si>
  <si>
    <t xml:space="preserve">FY 2015 Demographic Adjustment </t>
  </si>
  <si>
    <t xml:space="preserve">FY 2014 Demographic Adjustment </t>
  </si>
  <si>
    <t xml:space="preserve"> ECMADs
 FY 2013</t>
  </si>
  <si>
    <t>Unadjusted Population Growth 2015</t>
  </si>
  <si>
    <t xml:space="preserve"> Age Adjusted Growth 2015</t>
  </si>
  <si>
    <t>Hospital All-Payer Percent PAU</t>
  </si>
  <si>
    <t>Age&amp; PAU Adjusted Growth 2015</t>
  </si>
  <si>
    <t>Poulation and Demographic Adjustment Volume Allowance 2015</t>
  </si>
  <si>
    <t>Inpatient Revenue CY14</t>
  </si>
  <si>
    <t>Outpatient Revenue CY14</t>
  </si>
  <si>
    <t>Total Revenue Cy14</t>
  </si>
  <si>
    <t>1.Age Weights - CY2014</t>
  </si>
  <si>
    <t>DORCHESTER</t>
  </si>
  <si>
    <t>PENINSULA REGIONAL</t>
  </si>
  <si>
    <t>CHESTERTOWN</t>
  </si>
  <si>
    <t>CHARLES REGIONAL</t>
  </si>
  <si>
    <t>EASTON</t>
  </si>
  <si>
    <t>UMMC MIDTOWN</t>
  </si>
  <si>
    <t>REHAB &amp; ORTHO</t>
  </si>
  <si>
    <t>UM ST. JOSEPH</t>
  </si>
  <si>
    <t>LEVINDALE</t>
  </si>
  <si>
    <t>HOLY CROSS GERMANTOWN</t>
  </si>
  <si>
    <t>GERMANTOWN</t>
  </si>
  <si>
    <t>QUEEN ANNES</t>
  </si>
  <si>
    <t>BOWIE HEALTH</t>
  </si>
  <si>
    <t xml:space="preserve"> 2015 Hospital Population</t>
  </si>
  <si>
    <t>Potentially Avoidable Utilization (PAU)- All-Payer CY 2014</t>
  </si>
  <si>
    <t>CY 2014</t>
  </si>
  <si>
    <t>Total Inpatient &amp; 24hr+ Observation Discharges</t>
  </si>
  <si>
    <t>30 Day Readmissions</t>
  </si>
  <si>
    <t>Total PQI or Readmission</t>
  </si>
  <si>
    <t>% Total PAU Discharges</t>
  </si>
  <si>
    <t>Total Inpatient Charges</t>
  </si>
  <si>
    <t>24 Hrs+ Observation  Charges</t>
  </si>
  <si>
    <t>30 Day Readmission Charges</t>
  </si>
  <si>
    <t>PQI Charges</t>
  </si>
  <si>
    <t>PPC Charges</t>
  </si>
  <si>
    <t>TOTAL PQI or Readmission Charges</t>
  </si>
  <si>
    <t>TOTAL PAU Charges</t>
  </si>
  <si>
    <t>A</t>
  </si>
  <si>
    <t>B</t>
  </si>
  <si>
    <t>C</t>
  </si>
  <si>
    <t>D</t>
  </si>
  <si>
    <t>E</t>
  </si>
  <si>
    <t>F</t>
  </si>
  <si>
    <t>G</t>
  </si>
  <si>
    <t>H</t>
  </si>
  <si>
    <t>I = F / D</t>
  </si>
  <si>
    <t>J = E / D</t>
  </si>
  <si>
    <t>K = H / D</t>
  </si>
  <si>
    <t>L</t>
  </si>
  <si>
    <t>M</t>
  </si>
  <si>
    <t>N</t>
  </si>
  <si>
    <t>O</t>
  </si>
  <si>
    <t xml:space="preserve">P </t>
  </si>
  <si>
    <t>Q</t>
  </si>
  <si>
    <t>R</t>
  </si>
  <si>
    <t>S = Q + R</t>
  </si>
  <si>
    <t>T = P / (L + M)</t>
  </si>
  <si>
    <t>U = O / (L + M)</t>
  </si>
  <si>
    <t>V = Q / (L+M)</t>
  </si>
  <si>
    <t>W = S / (L+M)</t>
  </si>
  <si>
    <t>GBR</t>
  </si>
  <si>
    <t>Note: Readmissions are adjusted for Planned Admissions</t>
  </si>
  <si>
    <t>Note : Data run used 5/19/2015</t>
  </si>
  <si>
    <t>Note: CRISP Identifiers used to track patients across hospitals and care settings</t>
  </si>
  <si>
    <t>Note: Readmissions and PQIs include observation cases with 24+ LOS</t>
  </si>
  <si>
    <t>2016 Age&amp; PAU Adjusted POP Growth</t>
  </si>
  <si>
    <t>Fy 2015 PAU Percent</t>
  </si>
  <si>
    <t xml:space="preserve">1.Developing Weights - FY 2013 </t>
  </si>
  <si>
    <t>Population 2013</t>
  </si>
  <si>
    <t>Inpatient Revenue</t>
  </si>
  <si>
    <t>Outpatient Revenue</t>
  </si>
  <si>
    <t>Total Revenue</t>
  </si>
  <si>
    <t>Change in Weights</t>
  </si>
  <si>
    <t>0 to 4</t>
  </si>
  <si>
    <t>15 to 44</t>
  </si>
  <si>
    <t>45 to 54</t>
  </si>
  <si>
    <t>5 to 14</t>
  </si>
  <si>
    <t>55 to 64</t>
  </si>
  <si>
    <t>65 to 74</t>
  </si>
  <si>
    <t>75 to 84</t>
  </si>
  <si>
    <t>Population CY14</t>
  </si>
  <si>
    <t>Population 2019</t>
  </si>
  <si>
    <t>Population 2014</t>
  </si>
  <si>
    <t>Growth Difference</t>
  </si>
  <si>
    <t>Weigthed Growth Difference</t>
  </si>
  <si>
    <t>Total FY15</t>
  </si>
  <si>
    <t>Claritas</t>
  </si>
  <si>
    <t>Department of Planning</t>
  </si>
  <si>
    <t>Pop2015</t>
  </si>
  <si>
    <t>Pop2020</t>
  </si>
  <si>
    <t>Growth14-15</t>
  </si>
  <si>
    <t>Annual Growth 15-20</t>
  </si>
  <si>
    <t>Difference in CY14 Pop</t>
  </si>
  <si>
    <t>Growth 14-15</t>
  </si>
  <si>
    <t xml:space="preserve"> 2014 Hospital Population</t>
  </si>
  <si>
    <t>2014 Hospital Proportion of Population</t>
  </si>
  <si>
    <t>2015 Population Growth</t>
  </si>
  <si>
    <t>2015 Age&amp; PAU Adjusted Growth</t>
  </si>
  <si>
    <t>FY 16 -FY15 Age Adjusted Growth Difference</t>
  </si>
  <si>
    <t>FY 16 -FY15 PAU Percent Difference</t>
  </si>
  <si>
    <t>CY 2014 All-Payer Percent PAU</t>
  </si>
  <si>
    <t>Scaling factor</t>
  </si>
  <si>
    <t>Department of Planning Population Growth</t>
  </si>
  <si>
    <t>Net  Impact of Other Adjustments 
(Market Shift,Transfers, Categoricals)</t>
  </si>
  <si>
    <t>FY 2015 Age Adjusted Growth</t>
  </si>
  <si>
    <t>Difference in Growth 14-15 Growth Rates</t>
  </si>
  <si>
    <t>New Hospital</t>
  </si>
  <si>
    <t>FY 2016 Demographic Adjustment</t>
  </si>
  <si>
    <t>FY16 -FY15 Demographic Adjustment Difference</t>
  </si>
  <si>
    <t>Payment Type*</t>
  </si>
  <si>
    <t>Total FY16</t>
  </si>
  <si>
    <t>** TPR Hospital Demographic Adjustment is determined by county population growth.</t>
  </si>
  <si>
    <t>Hospital name</t>
  </si>
  <si>
    <t>CY 2014 MD Resident Total Charges</t>
  </si>
  <si>
    <t>CY 2014 MD Resident ECMADs</t>
  </si>
  <si>
    <t xml:space="preserve">New </t>
  </si>
  <si>
    <t>Table 1: FY 2016 GBR and TPR  Demographic Adjustments</t>
  </si>
  <si>
    <t>FY 2016 Results</t>
  </si>
  <si>
    <t>FY 2015 Results</t>
  </si>
  <si>
    <t>2015 Age Adjusted Population Growth</t>
  </si>
  <si>
    <t>State Total</t>
  </si>
  <si>
    <t>TPR*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</si>
</sst>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(* #,##0.0_);_(* \(#,##0.0\);_(* &quot;-&quot;??_);_(@_)"/>
    <numFmt numFmtId="172" formatCode="[$-409]mmm\-yy;@"/>
    <numFmt numFmtId="173" formatCode="mmm\-yy;@"/>
    <numFmt numFmtId="174" formatCode="&quot;$&quot;#,##0"/>
    <numFmt numFmtId="175" formatCode="\$#,##0"/>
    <numFmt numFmtId="176" formatCode="General_)"/>
    <numFmt numFmtId="177" formatCode="&quot;$&quot;#,##0;[Red]&quot;$&quot;#,##0"/>
    <numFmt numFmtId="178" formatCode="0.00000000000000%"/>
    <numFmt numFmtId="179" formatCode="&quot;$&quot;#,##0.00"/>
    <numFmt numFmtId="180" formatCode="0.000000000000000%"/>
    <numFmt numFmtId="181" formatCode="0.00000%"/>
    <numFmt numFmtId="182" formatCode="_(* #,##0.000_);_(* \(#,##0.000\);_(* &quot;-&quot;??_);_(@_)"/>
    <numFmt numFmtId="183" formatCode="_(&quot;$&quot;* #,##0_);_(&quot;$&quot;* \(#,##0\);_(&quot;$&quot;* &quot;-&quot;??_);_(@_)"/>
    <numFmt numFmtId="184" formatCode="0.0000000000000000%"/>
    <numFmt numFmtId="185" formatCode="_(* #,##0.0_);_(* \(#,##0.0\);_(* &quot;-&quot;?_);_(@_)"/>
    <numFmt numFmtId="186" formatCode="0.000%"/>
    <numFmt numFmtId="187" formatCode="_(&quot;$&quot;* #,##0.0_);_(&quot;$&quot;* \(#,##0.0\);_(&quot;$&quot;* &quot;-&quot;??_);_(@_)"/>
    <numFmt numFmtId="188" formatCode="0.0"/>
    <numFmt numFmtId="189" formatCode="0.00000000"/>
    <numFmt numFmtId="190" formatCode="0.00000000000000000%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%"/>
    <numFmt numFmtId="204" formatCode="[$-409]dddd\,\ mmmm\ dd\,\ yyyy"/>
    <numFmt numFmtId="205" formatCode="[$-409]h:mm:ss\ AM/PM"/>
    <numFmt numFmtId="206" formatCode="&quot;$&quot;#,##0.0"/>
    <numFmt numFmtId="207" formatCode="_(* #,##0.0000_);_(* \(#,##0.0000\);_(* &quot;-&quot;??_);_(@_)"/>
    <numFmt numFmtId="208" formatCode="0.0000%"/>
    <numFmt numFmtId="209" formatCode="_(* #,##0.0000_);_(* \(#,##0.0000\);_(* &quot;-&quot;????_);_(@_)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2"/>
      <name val="SWISS"/>
      <family val="0"/>
    </font>
    <font>
      <sz val="7"/>
      <name val="Helv"/>
      <family val="0"/>
    </font>
    <font>
      <sz val="6"/>
      <name val="Helv"/>
      <family val="0"/>
    </font>
    <font>
      <sz val="8"/>
      <name val="Helv"/>
      <family val="0"/>
    </font>
    <font>
      <sz val="12"/>
      <name val="Times New Roman"/>
      <family val="1"/>
    </font>
    <font>
      <i/>
      <sz val="10"/>
      <name val="System"/>
      <family val="2"/>
    </font>
    <font>
      <b/>
      <sz val="9"/>
      <color indexed="8"/>
      <name val="Arial, Albany AMT, sans-serif"/>
      <family val="0"/>
    </font>
    <font>
      <sz val="8"/>
      <color indexed="8"/>
      <name val="Arial, Albany AMT, Helvetica"/>
      <family val="0"/>
    </font>
    <font>
      <sz val="9"/>
      <color indexed="8"/>
      <name val="Arial, Albany AMT, Helvetica"/>
      <family val="0"/>
    </font>
    <font>
      <b/>
      <sz val="12"/>
      <name val="Calibri"/>
      <family val="2"/>
    </font>
    <font>
      <b/>
      <sz val="9"/>
      <color indexed="8"/>
      <name val="Arial, Albany AMT, Helvetica"/>
      <family val="0"/>
    </font>
    <font>
      <sz val="10"/>
      <color indexed="8"/>
      <name val="Arial, Albany AMT, Helvetica"/>
      <family val="0"/>
    </font>
    <font>
      <b/>
      <sz val="10"/>
      <color indexed="8"/>
      <name val="Arial, Albany AMT, Helvetica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>
        <color rgb="FFCCD6BE"/>
      </right>
      <top>
        <color indexed="63"/>
      </top>
      <bottom style="thin">
        <color rgb="FFCCD6BE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rgb="FFCCD6BE"/>
      </right>
      <top>
        <color indexed="63"/>
      </top>
      <bottom>
        <color indexed="63"/>
      </bottom>
    </border>
    <border>
      <left>
        <color indexed="63"/>
      </left>
      <right style="thin">
        <color rgb="FFCCD6BE"/>
      </right>
      <top style="thin">
        <color rgb="FFCCD6BE"/>
      </top>
      <bottom style="thin"/>
    </border>
    <border>
      <left style="thin">
        <color rgb="FFCCD6BE"/>
      </left>
      <right style="thin">
        <color rgb="FFCCD6BE"/>
      </right>
      <top style="thin">
        <color rgb="FFCCD6BE"/>
      </top>
      <bottom style="thin"/>
    </border>
    <border>
      <left style="thin">
        <color rgb="FFCCD6BE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CCD6BE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0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172" fontId="49" fillId="2" borderId="0" applyNumberFormat="0" applyBorder="0" applyAlignment="0" applyProtection="0"/>
    <xf numFmtId="172" fontId="49" fillId="3" borderId="0" applyNumberFormat="0" applyBorder="0" applyAlignment="0" applyProtection="0"/>
    <xf numFmtId="0" fontId="1" fillId="3" borderId="0" applyNumberFormat="0" applyBorder="0" applyAlignment="0" applyProtection="0"/>
    <xf numFmtId="172" fontId="1" fillId="3" borderId="0" applyNumberFormat="0" applyBorder="0" applyAlignment="0" applyProtection="0"/>
    <xf numFmtId="172" fontId="1" fillId="3" borderId="0" applyNumberFormat="0" applyBorder="0" applyAlignment="0" applyProtection="0"/>
    <xf numFmtId="0" fontId="1" fillId="3" borderId="0" applyNumberFormat="0" applyBorder="0" applyAlignment="0" applyProtection="0"/>
    <xf numFmtId="172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172" fontId="49" fillId="4" borderId="0" applyNumberFormat="0" applyBorder="0" applyAlignment="0" applyProtection="0"/>
    <xf numFmtId="172" fontId="49" fillId="5" borderId="0" applyNumberFormat="0" applyBorder="0" applyAlignment="0" applyProtection="0"/>
    <xf numFmtId="0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0" fontId="1" fillId="5" borderId="0" applyNumberFormat="0" applyBorder="0" applyAlignment="0" applyProtection="0"/>
    <xf numFmtId="172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172" fontId="49" fillId="6" borderId="0" applyNumberFormat="0" applyBorder="0" applyAlignment="0" applyProtection="0"/>
    <xf numFmtId="172" fontId="49" fillId="7" borderId="0" applyNumberFormat="0" applyBorder="0" applyAlignment="0" applyProtection="0"/>
    <xf numFmtId="0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0" fontId="1" fillId="7" borderId="0" applyNumberFormat="0" applyBorder="0" applyAlignment="0" applyProtection="0"/>
    <xf numFmtId="172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172" fontId="49" fillId="8" borderId="0" applyNumberFormat="0" applyBorder="0" applyAlignment="0" applyProtection="0"/>
    <xf numFmtId="172" fontId="49" fillId="9" borderId="0" applyNumberFormat="0" applyBorder="0" applyAlignment="0" applyProtection="0"/>
    <xf numFmtId="0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0" fontId="1" fillId="9" borderId="0" applyNumberFormat="0" applyBorder="0" applyAlignment="0" applyProtection="0"/>
    <xf numFmtId="172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172" fontId="49" fillId="10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0" fontId="1" fillId="11" borderId="0" applyNumberFormat="0" applyBorder="0" applyAlignment="0" applyProtection="0"/>
    <xf numFmtId="172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172" fontId="49" fillId="1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0" fontId="1" fillId="13" borderId="0" applyNumberFormat="0" applyBorder="0" applyAlignment="0" applyProtection="0"/>
    <xf numFmtId="172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172" fontId="49" fillId="14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172" fontId="49" fillId="16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8" borderId="0" applyNumberFormat="0" applyBorder="0" applyAlignment="0" applyProtection="0"/>
    <xf numFmtId="172" fontId="49" fillId="18" borderId="0" applyNumberFormat="0" applyBorder="0" applyAlignment="0" applyProtection="0"/>
    <xf numFmtId="172" fontId="49" fillId="19" borderId="0" applyNumberFormat="0" applyBorder="0" applyAlignment="0" applyProtection="0"/>
    <xf numFmtId="0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19" borderId="0" applyNumberFormat="0" applyBorder="0" applyAlignment="0" applyProtection="0"/>
    <xf numFmtId="0" fontId="1" fillId="19" borderId="0" applyNumberFormat="0" applyBorder="0" applyAlignment="0" applyProtection="0"/>
    <xf numFmtId="172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172" fontId="49" fillId="20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0" fontId="1" fillId="9" borderId="0" applyNumberFormat="0" applyBorder="0" applyAlignment="0" applyProtection="0"/>
    <xf numFmtId="172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172" fontId="49" fillId="21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172" fontId="49" fillId="22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50" fillId="24" borderId="0" applyNumberFormat="0" applyBorder="0" applyAlignment="0" applyProtection="0"/>
    <xf numFmtId="172" fontId="50" fillId="24" borderId="0" applyNumberFormat="0" applyBorder="0" applyAlignment="0" applyProtection="0"/>
    <xf numFmtId="172" fontId="17" fillId="25" borderId="0" applyNumberFormat="0" applyBorder="0" applyAlignment="0" applyProtection="0"/>
    <xf numFmtId="172" fontId="17" fillId="25" borderId="0" applyNumberFormat="0" applyBorder="0" applyAlignment="0" applyProtection="0"/>
    <xf numFmtId="0" fontId="17" fillId="25" borderId="0" applyNumberFormat="0" applyBorder="0" applyAlignment="0" applyProtection="0"/>
    <xf numFmtId="172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50" fillId="26" borderId="0" applyNumberFormat="0" applyBorder="0" applyAlignment="0" applyProtection="0"/>
    <xf numFmtId="172" fontId="50" fillId="26" borderId="0" applyNumberFormat="0" applyBorder="0" applyAlignment="0" applyProtection="0"/>
    <xf numFmtId="172" fontId="17" fillId="17" borderId="0" applyNumberFormat="0" applyBorder="0" applyAlignment="0" applyProtection="0"/>
    <xf numFmtId="172" fontId="17" fillId="17" borderId="0" applyNumberFormat="0" applyBorder="0" applyAlignment="0" applyProtection="0"/>
    <xf numFmtId="0" fontId="17" fillId="17" borderId="0" applyNumberFormat="0" applyBorder="0" applyAlignment="0" applyProtection="0"/>
    <xf numFmtId="172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9" borderId="0" applyNumberFormat="0" applyBorder="0" applyAlignment="0" applyProtection="0"/>
    <xf numFmtId="0" fontId="50" fillId="27" borderId="0" applyNumberFormat="0" applyBorder="0" applyAlignment="0" applyProtection="0"/>
    <xf numFmtId="172" fontId="50" fillId="27" borderId="0" applyNumberFormat="0" applyBorder="0" applyAlignment="0" applyProtection="0"/>
    <xf numFmtId="172" fontId="50" fillId="19" borderId="0" applyNumberFormat="0" applyBorder="0" applyAlignment="0" applyProtection="0"/>
    <xf numFmtId="0" fontId="17" fillId="19" borderId="0" applyNumberFormat="0" applyBorder="0" applyAlignment="0" applyProtection="0"/>
    <xf numFmtId="172" fontId="17" fillId="19" borderId="0" applyNumberFormat="0" applyBorder="0" applyAlignment="0" applyProtection="0"/>
    <xf numFmtId="172" fontId="17" fillId="19" borderId="0" applyNumberFormat="0" applyBorder="0" applyAlignment="0" applyProtection="0"/>
    <xf numFmtId="0" fontId="17" fillId="19" borderId="0" applyNumberFormat="0" applyBorder="0" applyAlignment="0" applyProtection="0"/>
    <xf numFmtId="172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172" fontId="50" fillId="28" borderId="0" applyNumberFormat="0" applyBorder="0" applyAlignment="0" applyProtection="0"/>
    <xf numFmtId="172" fontId="50" fillId="29" borderId="0" applyNumberFormat="0" applyBorder="0" applyAlignment="0" applyProtection="0"/>
    <xf numFmtId="0" fontId="17" fillId="29" borderId="0" applyNumberFormat="0" applyBorder="0" applyAlignment="0" applyProtection="0"/>
    <xf numFmtId="172" fontId="17" fillId="29" borderId="0" applyNumberFormat="0" applyBorder="0" applyAlignment="0" applyProtection="0"/>
    <xf numFmtId="172" fontId="17" fillId="29" borderId="0" applyNumberFormat="0" applyBorder="0" applyAlignment="0" applyProtection="0"/>
    <xf numFmtId="0" fontId="17" fillId="29" borderId="0" applyNumberFormat="0" applyBorder="0" applyAlignment="0" applyProtection="0"/>
    <xf numFmtId="172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50" fillId="30" borderId="0" applyNumberFormat="0" applyBorder="0" applyAlignment="0" applyProtection="0"/>
    <xf numFmtId="172" fontId="50" fillId="30" borderId="0" applyNumberFormat="0" applyBorder="0" applyAlignment="0" applyProtection="0"/>
    <xf numFmtId="172" fontId="17" fillId="31" borderId="0" applyNumberFormat="0" applyBorder="0" applyAlignment="0" applyProtection="0"/>
    <xf numFmtId="172" fontId="17" fillId="31" borderId="0" applyNumberFormat="0" applyBorder="0" applyAlignment="0" applyProtection="0"/>
    <xf numFmtId="0" fontId="17" fillId="31" borderId="0" applyNumberFormat="0" applyBorder="0" applyAlignment="0" applyProtection="0"/>
    <xf numFmtId="172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2" borderId="0" applyNumberFormat="0" applyBorder="0" applyAlignment="0" applyProtection="0"/>
    <xf numFmtId="172" fontId="50" fillId="32" borderId="0" applyNumberFormat="0" applyBorder="0" applyAlignment="0" applyProtection="0"/>
    <xf numFmtId="172" fontId="50" fillId="33" borderId="0" applyNumberFormat="0" applyBorder="0" applyAlignment="0" applyProtection="0"/>
    <xf numFmtId="0" fontId="17" fillId="33" borderId="0" applyNumberFormat="0" applyBorder="0" applyAlignment="0" applyProtection="0"/>
    <xf numFmtId="172" fontId="17" fillId="33" borderId="0" applyNumberFormat="0" applyBorder="0" applyAlignment="0" applyProtection="0"/>
    <xf numFmtId="172" fontId="17" fillId="33" borderId="0" applyNumberFormat="0" applyBorder="0" applyAlignment="0" applyProtection="0"/>
    <xf numFmtId="0" fontId="17" fillId="33" borderId="0" applyNumberFormat="0" applyBorder="0" applyAlignment="0" applyProtection="0"/>
    <xf numFmtId="172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50" fillId="34" borderId="0" applyNumberFormat="0" applyBorder="0" applyAlignment="0" applyProtection="0"/>
    <xf numFmtId="172" fontId="50" fillId="34" borderId="0" applyNumberFormat="0" applyBorder="0" applyAlignment="0" applyProtection="0"/>
    <xf numFmtId="172" fontId="17" fillId="35" borderId="0" applyNumberFormat="0" applyBorder="0" applyAlignment="0" applyProtection="0"/>
    <xf numFmtId="172" fontId="17" fillId="35" borderId="0" applyNumberFormat="0" applyBorder="0" applyAlignment="0" applyProtection="0"/>
    <xf numFmtId="0" fontId="17" fillId="35" borderId="0" applyNumberFormat="0" applyBorder="0" applyAlignment="0" applyProtection="0"/>
    <xf numFmtId="172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50" fillId="36" borderId="0" applyNumberFormat="0" applyBorder="0" applyAlignment="0" applyProtection="0"/>
    <xf numFmtId="172" fontId="50" fillId="36" borderId="0" applyNumberFormat="0" applyBorder="0" applyAlignment="0" applyProtection="0"/>
    <xf numFmtId="172" fontId="17" fillId="37" borderId="0" applyNumberFormat="0" applyBorder="0" applyAlignment="0" applyProtection="0"/>
    <xf numFmtId="172" fontId="17" fillId="37" borderId="0" applyNumberFormat="0" applyBorder="0" applyAlignment="0" applyProtection="0"/>
    <xf numFmtId="0" fontId="17" fillId="37" borderId="0" applyNumberFormat="0" applyBorder="0" applyAlignment="0" applyProtection="0"/>
    <xf numFmtId="172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50" fillId="38" borderId="0" applyNumberFormat="0" applyBorder="0" applyAlignment="0" applyProtection="0"/>
    <xf numFmtId="172" fontId="50" fillId="38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7" fillId="39" borderId="0" applyNumberFormat="0" applyBorder="0" applyAlignment="0" applyProtection="0"/>
    <xf numFmtId="172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40" borderId="0" applyNumberFormat="0" applyBorder="0" applyAlignment="0" applyProtection="0"/>
    <xf numFmtId="172" fontId="50" fillId="40" borderId="0" applyNumberFormat="0" applyBorder="0" applyAlignment="0" applyProtection="0"/>
    <xf numFmtId="172" fontId="17" fillId="29" borderId="0" applyNumberFormat="0" applyBorder="0" applyAlignment="0" applyProtection="0"/>
    <xf numFmtId="172" fontId="17" fillId="29" borderId="0" applyNumberFormat="0" applyBorder="0" applyAlignment="0" applyProtection="0"/>
    <xf numFmtId="0" fontId="17" fillId="29" borderId="0" applyNumberFormat="0" applyBorder="0" applyAlignment="0" applyProtection="0"/>
    <xf numFmtId="172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50" fillId="41" borderId="0" applyNumberFormat="0" applyBorder="0" applyAlignment="0" applyProtection="0"/>
    <xf numFmtId="172" fontId="50" fillId="41" borderId="0" applyNumberFormat="0" applyBorder="0" applyAlignment="0" applyProtection="0"/>
    <xf numFmtId="172" fontId="17" fillId="31" borderId="0" applyNumberFormat="0" applyBorder="0" applyAlignment="0" applyProtection="0"/>
    <xf numFmtId="172" fontId="17" fillId="31" borderId="0" applyNumberFormat="0" applyBorder="0" applyAlignment="0" applyProtection="0"/>
    <xf numFmtId="0" fontId="17" fillId="31" borderId="0" applyNumberFormat="0" applyBorder="0" applyAlignment="0" applyProtection="0"/>
    <xf numFmtId="172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50" fillId="42" borderId="0" applyNumberFormat="0" applyBorder="0" applyAlignment="0" applyProtection="0"/>
    <xf numFmtId="172" fontId="50" fillId="42" borderId="0" applyNumberFormat="0" applyBorder="0" applyAlignment="0" applyProtection="0"/>
    <xf numFmtId="172" fontId="17" fillId="43" borderId="0" applyNumberFormat="0" applyBorder="0" applyAlignment="0" applyProtection="0"/>
    <xf numFmtId="172" fontId="17" fillId="43" borderId="0" applyNumberFormat="0" applyBorder="0" applyAlignment="0" applyProtection="0"/>
    <xf numFmtId="0" fontId="17" fillId="43" borderId="0" applyNumberFormat="0" applyBorder="0" applyAlignment="0" applyProtection="0"/>
    <xf numFmtId="172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0" applyNumberFormat="0" applyBorder="0" applyAlignment="0" applyProtection="0"/>
    <xf numFmtId="0" fontId="7" fillId="5" borderId="0" applyNumberFormat="0" applyBorder="0" applyAlignment="0" applyProtection="0"/>
    <xf numFmtId="0" fontId="51" fillId="44" borderId="0" applyNumberFormat="0" applyBorder="0" applyAlignment="0" applyProtection="0"/>
    <xf numFmtId="172" fontId="51" fillId="44" borderId="0" applyNumberFormat="0" applyBorder="0" applyAlignment="0" applyProtection="0"/>
    <xf numFmtId="172" fontId="7" fillId="5" borderId="0" applyNumberFormat="0" applyBorder="0" applyAlignment="0" applyProtection="0"/>
    <xf numFmtId="172" fontId="7" fillId="5" borderId="0" applyNumberFormat="0" applyBorder="0" applyAlignment="0" applyProtection="0"/>
    <xf numFmtId="0" fontId="7" fillId="5" borderId="0" applyNumberFormat="0" applyBorder="0" applyAlignment="0" applyProtection="0"/>
    <xf numFmtId="172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1" applyNumberFormat="0" applyAlignment="0" applyProtection="0"/>
    <xf numFmtId="0" fontId="11" fillId="46" borderId="2" applyNumberFormat="0" applyAlignment="0" applyProtection="0"/>
    <xf numFmtId="0" fontId="52" fillId="45" borderId="1" applyNumberFormat="0" applyAlignment="0" applyProtection="0"/>
    <xf numFmtId="172" fontId="52" fillId="45" borderId="1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2" fontId="52" fillId="45" borderId="1" applyNumberFormat="0" applyAlignment="0" applyProtection="0"/>
    <xf numFmtId="0" fontId="52" fillId="45" borderId="1" applyNumberFormat="0" applyAlignment="0" applyProtection="0"/>
    <xf numFmtId="0" fontId="53" fillId="47" borderId="3" applyNumberFormat="0" applyAlignment="0" applyProtection="0"/>
    <xf numFmtId="0" fontId="13" fillId="48" borderId="4" applyNumberFormat="0" applyAlignment="0" applyProtection="0"/>
    <xf numFmtId="0" fontId="53" fillId="47" borderId="3" applyNumberFormat="0" applyAlignment="0" applyProtection="0"/>
    <xf numFmtId="172" fontId="53" fillId="47" borderId="3" applyNumberFormat="0" applyAlignment="0" applyProtection="0"/>
    <xf numFmtId="172" fontId="13" fillId="48" borderId="4" applyNumberFormat="0" applyAlignment="0" applyProtection="0"/>
    <xf numFmtId="172" fontId="13" fillId="48" borderId="4" applyNumberFormat="0" applyAlignment="0" applyProtection="0"/>
    <xf numFmtId="0" fontId="13" fillId="48" borderId="4" applyNumberFormat="0" applyAlignment="0" applyProtection="0"/>
    <xf numFmtId="172" fontId="53" fillId="47" borderId="3" applyNumberFormat="0" applyAlignment="0" applyProtection="0"/>
    <xf numFmtId="0" fontId="53" fillId="47" borderId="3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6" fillId="7" borderId="0" applyNumberFormat="0" applyBorder="0" applyAlignment="0" applyProtection="0"/>
    <xf numFmtId="0" fontId="56" fillId="49" borderId="0" applyNumberFormat="0" applyBorder="0" applyAlignment="0" applyProtection="0"/>
    <xf numFmtId="172" fontId="56" fillId="49" borderId="0" applyNumberFormat="0" applyBorder="0" applyAlignment="0" applyProtection="0"/>
    <xf numFmtId="172" fontId="6" fillId="7" borderId="0" applyNumberFormat="0" applyBorder="0" applyAlignment="0" applyProtection="0"/>
    <xf numFmtId="172" fontId="6" fillId="7" borderId="0" applyNumberFormat="0" applyBorder="0" applyAlignment="0" applyProtection="0"/>
    <xf numFmtId="0" fontId="6" fillId="7" borderId="0" applyNumberFormat="0" applyBorder="0" applyAlignment="0" applyProtection="0"/>
    <xf numFmtId="172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7" fillId="0" borderId="5" applyNumberFormat="0" applyFill="0" applyAlignment="0" applyProtection="0"/>
    <xf numFmtId="0" fontId="3" fillId="0" borderId="6" applyNumberFormat="0" applyFill="0" applyAlignment="0" applyProtection="0"/>
    <xf numFmtId="0" fontId="57" fillId="0" borderId="5" applyNumberFormat="0" applyFill="0" applyAlignment="0" applyProtection="0"/>
    <xf numFmtId="172" fontId="57" fillId="0" borderId="5" applyNumberFormat="0" applyFill="0" applyAlignment="0" applyProtection="0"/>
    <xf numFmtId="172" fontId="3" fillId="0" borderId="6" applyNumberFormat="0" applyFill="0" applyAlignment="0" applyProtection="0"/>
    <xf numFmtId="172" fontId="3" fillId="0" borderId="6" applyNumberFormat="0" applyFill="0" applyAlignment="0" applyProtection="0"/>
    <xf numFmtId="0" fontId="3" fillId="0" borderId="6" applyNumberFormat="0" applyFill="0" applyAlignment="0" applyProtection="0"/>
    <xf numFmtId="172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7" applyNumberFormat="0" applyFill="0" applyAlignment="0" applyProtection="0"/>
    <xf numFmtId="0" fontId="4" fillId="0" borderId="8" applyNumberFormat="0" applyFill="0" applyAlignment="0" applyProtection="0"/>
    <xf numFmtId="0" fontId="58" fillId="0" borderId="7" applyNumberFormat="0" applyFill="0" applyAlignment="0" applyProtection="0"/>
    <xf numFmtId="172" fontId="58" fillId="0" borderId="7" applyNumberFormat="0" applyFill="0" applyAlignment="0" applyProtection="0"/>
    <xf numFmtId="172" fontId="4" fillId="0" borderId="8" applyNumberFormat="0" applyFill="0" applyAlignment="0" applyProtection="0"/>
    <xf numFmtId="172" fontId="4" fillId="0" borderId="8" applyNumberFormat="0" applyFill="0" applyAlignment="0" applyProtection="0"/>
    <xf numFmtId="0" fontId="4" fillId="0" borderId="8" applyNumberFormat="0" applyFill="0" applyAlignment="0" applyProtection="0"/>
    <xf numFmtId="172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9" applyNumberFormat="0" applyFill="0" applyAlignment="0" applyProtection="0"/>
    <xf numFmtId="0" fontId="5" fillId="0" borderId="10" applyNumberFormat="0" applyFill="0" applyAlignment="0" applyProtection="0"/>
    <xf numFmtId="0" fontId="59" fillId="0" borderId="9" applyNumberFormat="0" applyFill="0" applyAlignment="0" applyProtection="0"/>
    <xf numFmtId="172" fontId="59" fillId="0" borderId="9" applyNumberFormat="0" applyFill="0" applyAlignment="0" applyProtection="0"/>
    <xf numFmtId="172" fontId="5" fillId="0" borderId="10" applyNumberFormat="0" applyFill="0" applyAlignment="0" applyProtection="0"/>
    <xf numFmtId="172" fontId="5" fillId="0" borderId="10" applyNumberFormat="0" applyFill="0" applyAlignment="0" applyProtection="0"/>
    <xf numFmtId="0" fontId="5" fillId="0" borderId="10" applyNumberFormat="0" applyFill="0" applyAlignment="0" applyProtection="0"/>
    <xf numFmtId="172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61" fillId="0" borderId="0" applyNumberFormat="0" applyFill="0" applyBorder="0" applyAlignment="0" applyProtection="0"/>
    <xf numFmtId="0" fontId="62" fillId="50" borderId="1" applyNumberFormat="0" applyAlignment="0" applyProtection="0"/>
    <xf numFmtId="0" fontId="9" fillId="13" borderId="2" applyNumberFormat="0" applyAlignment="0" applyProtection="0"/>
    <xf numFmtId="0" fontId="62" fillId="50" borderId="1" applyNumberFormat="0" applyAlignment="0" applyProtection="0"/>
    <xf numFmtId="172" fontId="62" fillId="50" borderId="1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72" fontId="62" fillId="50" borderId="1" applyNumberFormat="0" applyAlignment="0" applyProtection="0"/>
    <xf numFmtId="0" fontId="62" fillId="50" borderId="1" applyNumberFormat="0" applyAlignment="0" applyProtection="0"/>
    <xf numFmtId="0" fontId="63" fillId="0" borderId="11" applyNumberFormat="0" applyFill="0" applyAlignment="0" applyProtection="0"/>
    <xf numFmtId="0" fontId="12" fillId="0" borderId="12" applyNumberFormat="0" applyFill="0" applyAlignment="0" applyProtection="0"/>
    <xf numFmtId="0" fontId="63" fillId="0" borderId="11" applyNumberFormat="0" applyFill="0" applyAlignment="0" applyProtection="0"/>
    <xf numFmtId="172" fontId="63" fillId="0" borderId="11" applyNumberFormat="0" applyFill="0" applyAlignment="0" applyProtection="0"/>
    <xf numFmtId="172" fontId="12" fillId="0" borderId="12" applyNumberFormat="0" applyFill="0" applyAlignment="0" applyProtection="0"/>
    <xf numFmtId="172" fontId="12" fillId="0" borderId="12" applyNumberFormat="0" applyFill="0" applyAlignment="0" applyProtection="0"/>
    <xf numFmtId="0" fontId="12" fillId="0" borderId="12" applyNumberFormat="0" applyFill="0" applyAlignment="0" applyProtection="0"/>
    <xf numFmtId="172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51" borderId="0" applyNumberFormat="0" applyBorder="0" applyAlignment="0" applyProtection="0"/>
    <xf numFmtId="0" fontId="8" fillId="52" borderId="0" applyNumberFormat="0" applyBorder="0" applyAlignment="0" applyProtection="0"/>
    <xf numFmtId="0" fontId="64" fillId="51" borderId="0" applyNumberFormat="0" applyBorder="0" applyAlignment="0" applyProtection="0"/>
    <xf numFmtId="172" fontId="64" fillId="51" borderId="0" applyNumberFormat="0" applyBorder="0" applyAlignment="0" applyProtection="0"/>
    <xf numFmtId="172" fontId="8" fillId="52" borderId="0" applyNumberFormat="0" applyBorder="0" applyAlignment="0" applyProtection="0"/>
    <xf numFmtId="172" fontId="8" fillId="52" borderId="0" applyNumberFormat="0" applyBorder="0" applyAlignment="0" applyProtection="0"/>
    <xf numFmtId="0" fontId="8" fillId="52" borderId="0" applyNumberFormat="0" applyBorder="0" applyAlignment="0" applyProtection="0"/>
    <xf numFmtId="172" fontId="64" fillId="51" borderId="0" applyNumberFormat="0" applyBorder="0" applyAlignment="0" applyProtection="0"/>
    <xf numFmtId="0" fontId="64" fillId="51" borderId="0" applyNumberFormat="0" applyBorder="0" applyAlignment="0" applyProtection="0"/>
    <xf numFmtId="172" fontId="49" fillId="0" borderId="0">
      <alignment/>
      <protection/>
    </xf>
    <xf numFmtId="0" fontId="49" fillId="0" borderId="0">
      <alignment/>
      <protection/>
    </xf>
    <xf numFmtId="172" fontId="49" fillId="0" borderId="0">
      <alignment/>
      <protection/>
    </xf>
    <xf numFmtId="0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0" fillId="0" borderId="0">
      <alignment/>
      <protection/>
    </xf>
    <xf numFmtId="172" fontId="49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2" fontId="21" fillId="0" borderId="0">
      <alignment/>
      <protection/>
    </xf>
    <xf numFmtId="172" fontId="2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2" fontId="49" fillId="0" borderId="0">
      <alignment/>
      <protection/>
    </xf>
    <xf numFmtId="172" fontId="22" fillId="0" borderId="0">
      <alignment/>
      <protection/>
    </xf>
    <xf numFmtId="172" fontId="21" fillId="0" borderId="0">
      <alignment/>
      <protection/>
    </xf>
    <xf numFmtId="176" fontId="2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2" fontId="49" fillId="0" borderId="0">
      <alignment/>
      <protection/>
    </xf>
    <xf numFmtId="172" fontId="0" fillId="0" borderId="0">
      <alignment/>
      <protection/>
    </xf>
    <xf numFmtId="176" fontId="24" fillId="0" borderId="0">
      <alignment/>
      <protection/>
    </xf>
    <xf numFmtId="0" fontId="1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49" fillId="0" borderId="0">
      <alignment/>
      <protection/>
    </xf>
    <xf numFmtId="37" fontId="25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49" fillId="0" borderId="0">
      <alignment/>
      <protection/>
    </xf>
    <xf numFmtId="176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7" fontId="26" fillId="0" borderId="0">
      <alignment wrapText="1"/>
      <protection/>
    </xf>
    <xf numFmtId="172" fontId="49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49" fillId="0" borderId="0">
      <alignment/>
      <protection/>
    </xf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172" fontId="49" fillId="53" borderId="13" applyNumberFormat="0" applyFont="0" applyAlignment="0" applyProtection="0"/>
    <xf numFmtId="172" fontId="1" fillId="53" borderId="13" applyNumberFormat="0" applyFont="0" applyAlignment="0" applyProtection="0"/>
    <xf numFmtId="172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65" fillId="45" borderId="15" applyNumberFormat="0" applyAlignment="0" applyProtection="0"/>
    <xf numFmtId="0" fontId="10" fillId="46" borderId="16" applyNumberFormat="0" applyAlignment="0" applyProtection="0"/>
    <xf numFmtId="0" fontId="65" fillId="45" borderId="15" applyNumberFormat="0" applyAlignment="0" applyProtection="0"/>
    <xf numFmtId="172" fontId="65" fillId="45" borderId="15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172" fontId="65" fillId="45" borderId="15" applyNumberFormat="0" applyAlignment="0" applyProtection="0"/>
    <xf numFmtId="0" fontId="65" fillId="45" borderId="15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6" fillId="0" borderId="18" applyNumberFormat="0" applyFill="0" applyAlignment="0" applyProtection="0"/>
    <xf numFmtId="0" fontId="67" fillId="0" borderId="17" applyNumberFormat="0" applyFill="0" applyAlignment="0" applyProtection="0"/>
    <xf numFmtId="172" fontId="67" fillId="0" borderId="17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72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68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7" applyNumberFormat="1" applyFont="1" applyAlignment="1">
      <alignment/>
    </xf>
    <xf numFmtId="0" fontId="20" fillId="0" borderId="0" xfId="436" applyFont="1" applyFill="1">
      <alignment/>
      <protection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10" fontId="67" fillId="0" borderId="0" xfId="557" applyNumberFormat="1" applyFont="1" applyBorder="1" applyAlignment="1">
      <alignment/>
    </xf>
    <xf numFmtId="0" fontId="67" fillId="0" borderId="19" xfId="0" applyFont="1" applyBorder="1" applyAlignment="1">
      <alignment wrapText="1"/>
    </xf>
    <xf numFmtId="174" fontId="67" fillId="0" borderId="0" xfId="0" applyNumberFormat="1" applyFont="1" applyBorder="1" applyAlignment="1">
      <alignment/>
    </xf>
    <xf numFmtId="0" fontId="19" fillId="0" borderId="0" xfId="436" applyFill="1" applyBorder="1">
      <alignment/>
      <protection/>
    </xf>
    <xf numFmtId="43" fontId="67" fillId="0" borderId="0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1" xfId="0" applyNumberFormat="1" applyBorder="1" applyAlignment="1">
      <alignment/>
    </xf>
    <xf numFmtId="164" fontId="0" fillId="0" borderId="0" xfId="297" applyNumberFormat="1" applyFont="1" applyAlignment="1">
      <alignment/>
    </xf>
    <xf numFmtId="0" fontId="0" fillId="0" borderId="0" xfId="0" applyBorder="1" applyAlignment="1">
      <alignment/>
    </xf>
    <xf numFmtId="0" fontId="18" fillId="0" borderId="22" xfId="0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19" fillId="0" borderId="20" xfId="436" applyBorder="1">
      <alignment/>
      <protection/>
    </xf>
    <xf numFmtId="174" fontId="49" fillId="0" borderId="20" xfId="297" applyNumberFormat="1" applyFont="1" applyBorder="1" applyAlignment="1">
      <alignment/>
    </xf>
    <xf numFmtId="174" fontId="0" fillId="0" borderId="20" xfId="0" applyNumberFormat="1" applyBorder="1" applyAlignment="1">
      <alignment/>
    </xf>
    <xf numFmtId="0" fontId="19" fillId="0" borderId="23" xfId="436" applyBorder="1">
      <alignment/>
      <protection/>
    </xf>
    <xf numFmtId="0" fontId="67" fillId="0" borderId="22" xfId="0" applyFont="1" applyBorder="1" applyAlignment="1">
      <alignment horizontal="center" vertical="center" wrapText="1"/>
    </xf>
    <xf numFmtId="0" fontId="29" fillId="55" borderId="24" xfId="0" applyNumberFormat="1" applyFont="1" applyFill="1" applyBorder="1" applyAlignment="1" applyProtection="1">
      <alignment horizontal="right" wrapText="1"/>
      <protection/>
    </xf>
    <xf numFmtId="0" fontId="29" fillId="55" borderId="24" xfId="0" applyNumberFormat="1" applyFont="1" applyFill="1" applyBorder="1" applyAlignment="1" applyProtection="1">
      <alignment horizontal="left" wrapText="1"/>
      <protection/>
    </xf>
    <xf numFmtId="164" fontId="29" fillId="55" borderId="24" xfId="297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Alignment="1">
      <alignment/>
    </xf>
    <xf numFmtId="164" fontId="30" fillId="55" borderId="24" xfId="297" applyNumberFormat="1" applyFont="1" applyFill="1" applyBorder="1" applyAlignment="1" applyProtection="1">
      <alignment horizontal="right" wrapText="1"/>
      <protection/>
    </xf>
    <xf numFmtId="164" fontId="29" fillId="55" borderId="24" xfId="297" applyNumberFormat="1" applyFont="1" applyFill="1" applyBorder="1" applyAlignment="1" applyProtection="1">
      <alignment horizontal="left" wrapText="1"/>
      <protection/>
    </xf>
    <xf numFmtId="10" fontId="30" fillId="55" borderId="24" xfId="557" applyNumberFormat="1" applyFont="1" applyFill="1" applyBorder="1" applyAlignment="1" applyProtection="1">
      <alignment horizontal="right" wrapText="1"/>
      <protection/>
    </xf>
    <xf numFmtId="164" fontId="49" fillId="0" borderId="20" xfId="297" applyNumberFormat="1" applyFont="1" applyBorder="1" applyAlignment="1">
      <alignment/>
    </xf>
    <xf numFmtId="49" fontId="19" fillId="0" borderId="20" xfId="436" applyNumberFormat="1" applyBorder="1">
      <alignment/>
      <protection/>
    </xf>
    <xf numFmtId="0" fontId="19" fillId="0" borderId="25" xfId="436" applyFill="1" applyBorder="1">
      <alignment/>
      <protection/>
    </xf>
    <xf numFmtId="164" fontId="49" fillId="0" borderId="26" xfId="297" applyNumberFormat="1" applyFont="1" applyBorder="1" applyAlignment="1">
      <alignment/>
    </xf>
    <xf numFmtId="17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20" fillId="0" borderId="22" xfId="436" applyFont="1" applyFill="1" applyBorder="1">
      <alignment/>
      <protection/>
    </xf>
    <xf numFmtId="164" fontId="67" fillId="0" borderId="22" xfId="297" applyNumberFormat="1" applyFont="1" applyBorder="1" applyAlignment="1">
      <alignment/>
    </xf>
    <xf numFmtId="174" fontId="67" fillId="0" borderId="22" xfId="297" applyNumberFormat="1" applyFont="1" applyBorder="1" applyAlignment="1">
      <alignment/>
    </xf>
    <xf numFmtId="174" fontId="18" fillId="0" borderId="22" xfId="0" applyNumberFormat="1" applyFont="1" applyBorder="1" applyAlignment="1">
      <alignment/>
    </xf>
    <xf numFmtId="2" fontId="18" fillId="0" borderId="22" xfId="0" applyNumberFormat="1" applyFont="1" applyBorder="1" applyAlignment="1">
      <alignment/>
    </xf>
    <xf numFmtId="165" fontId="0" fillId="0" borderId="20" xfId="557" applyNumberFormat="1" applyFont="1" applyBorder="1" applyAlignment="1">
      <alignment/>
    </xf>
    <xf numFmtId="0" fontId="67" fillId="0" borderId="27" xfId="0" applyFont="1" applyBorder="1" applyAlignment="1">
      <alignment/>
    </xf>
    <xf numFmtId="10" fontId="67" fillId="0" borderId="27" xfId="557" applyNumberFormat="1" applyFont="1" applyBorder="1" applyAlignment="1">
      <alignment/>
    </xf>
    <xf numFmtId="164" fontId="67" fillId="0" borderId="27" xfId="557" applyNumberFormat="1" applyFont="1" applyBorder="1" applyAlignment="1">
      <alignment/>
    </xf>
    <xf numFmtId="2" fontId="18" fillId="0" borderId="27" xfId="0" applyNumberFormat="1" applyFont="1" applyBorder="1" applyAlignment="1">
      <alignment/>
    </xf>
    <xf numFmtId="0" fontId="19" fillId="0" borderId="28" xfId="436" applyBorder="1">
      <alignment/>
      <protection/>
    </xf>
    <xf numFmtId="49" fontId="19" fillId="0" borderId="28" xfId="436" applyNumberFormat="1" applyBorder="1">
      <alignment/>
      <protection/>
    </xf>
    <xf numFmtId="0" fontId="19" fillId="0" borderId="29" xfId="436" applyBorder="1">
      <alignment/>
      <protection/>
    </xf>
    <xf numFmtId="0" fontId="19" fillId="0" borderId="30" xfId="436" applyFill="1" applyBorder="1">
      <alignment/>
      <protection/>
    </xf>
    <xf numFmtId="0" fontId="67" fillId="0" borderId="22" xfId="0" applyFont="1" applyBorder="1" applyAlignment="1">
      <alignment wrapText="1"/>
    </xf>
    <xf numFmtId="164" fontId="49" fillId="0" borderId="31" xfId="297" applyNumberFormat="1" applyFont="1" applyBorder="1" applyAlignment="1">
      <alignment/>
    </xf>
    <xf numFmtId="2" fontId="0" fillId="0" borderId="31" xfId="0" applyNumberFormat="1" applyBorder="1" applyAlignment="1">
      <alignment/>
    </xf>
    <xf numFmtId="10" fontId="49" fillId="0" borderId="31" xfId="557" applyNumberFormat="1" applyFont="1" applyBorder="1" applyAlignment="1">
      <alignment/>
    </xf>
    <xf numFmtId="164" fontId="49" fillId="0" borderId="23" xfId="297" applyNumberFormat="1" applyFont="1" applyBorder="1" applyAlignment="1">
      <alignment/>
    </xf>
    <xf numFmtId="2" fontId="0" fillId="0" borderId="23" xfId="0" applyNumberFormat="1" applyBorder="1" applyAlignment="1">
      <alignment/>
    </xf>
    <xf numFmtId="10" fontId="49" fillId="0" borderId="23" xfId="557" applyNumberFormat="1" applyFont="1" applyBorder="1" applyAlignment="1">
      <alignment/>
    </xf>
    <xf numFmtId="164" fontId="49" fillId="0" borderId="22" xfId="297" applyNumberFormat="1" applyFont="1" applyBorder="1" applyAlignment="1">
      <alignment/>
    </xf>
    <xf numFmtId="164" fontId="49" fillId="0" borderId="21" xfId="297" applyNumberFormat="1" applyFont="1" applyBorder="1" applyAlignment="1">
      <alignment/>
    </xf>
    <xf numFmtId="10" fontId="49" fillId="0" borderId="21" xfId="557" applyNumberFormat="1" applyFont="1" applyBorder="1" applyAlignment="1">
      <alignment/>
    </xf>
    <xf numFmtId="2" fontId="49" fillId="0" borderId="0" xfId="440" applyNumberFormat="1" applyFont="1">
      <alignment/>
      <protection/>
    </xf>
    <xf numFmtId="10" fontId="19" fillId="0" borderId="0" xfId="565" applyNumberFormat="1" applyFont="1" applyAlignment="1">
      <alignment/>
    </xf>
    <xf numFmtId="174" fontId="38" fillId="56" borderId="24" xfId="421" applyNumberFormat="1" applyFont="1" applyFill="1" applyBorder="1" applyAlignment="1" applyProtection="1">
      <alignment horizontal="center" vertical="center" wrapText="1"/>
      <protection/>
    </xf>
    <xf numFmtId="0" fontId="38" fillId="0" borderId="24" xfId="421" applyNumberFormat="1" applyFont="1" applyFill="1" applyBorder="1" applyAlignment="1" applyProtection="1">
      <alignment horizontal="center" vertical="center" wrapText="1"/>
      <protection/>
    </xf>
    <xf numFmtId="0" fontId="38" fillId="56" borderId="24" xfId="421" applyNumberFormat="1" applyFont="1" applyFill="1" applyBorder="1" applyAlignment="1" applyProtection="1">
      <alignment horizontal="center" vertical="center" wrapText="1"/>
      <protection/>
    </xf>
    <xf numFmtId="174" fontId="69" fillId="0" borderId="0" xfId="421" applyNumberFormat="1" applyFont="1">
      <alignment/>
      <protection/>
    </xf>
    <xf numFmtId="0" fontId="69" fillId="0" borderId="0" xfId="421" applyFont="1" applyFill="1">
      <alignment/>
      <protection/>
    </xf>
    <xf numFmtId="10" fontId="70" fillId="0" borderId="0" xfId="558" applyNumberFormat="1" applyFont="1" applyAlignment="1">
      <alignment/>
    </xf>
    <xf numFmtId="174" fontId="70" fillId="0" borderId="0" xfId="297" applyNumberFormat="1" applyFont="1" applyAlignment="1">
      <alignment/>
    </xf>
    <xf numFmtId="164" fontId="70" fillId="0" borderId="0" xfId="297" applyNumberFormat="1" applyFont="1" applyAlignment="1">
      <alignment/>
    </xf>
    <xf numFmtId="0" fontId="70" fillId="0" borderId="0" xfId="421" applyFont="1">
      <alignment/>
      <protection/>
    </xf>
    <xf numFmtId="10" fontId="70" fillId="10" borderId="27" xfId="558" applyNumberFormat="1" applyFont="1" applyFill="1" applyBorder="1" applyAlignment="1">
      <alignment/>
    </xf>
    <xf numFmtId="165" fontId="70" fillId="0" borderId="27" xfId="558" applyNumberFormat="1" applyFont="1" applyBorder="1" applyAlignment="1">
      <alignment/>
    </xf>
    <xf numFmtId="164" fontId="70" fillId="10" borderId="27" xfId="297" applyNumberFormat="1" applyFont="1" applyFill="1" applyBorder="1" applyAlignment="1">
      <alignment/>
    </xf>
    <xf numFmtId="164" fontId="70" fillId="4" borderId="27" xfId="297" applyNumberFormat="1" applyFont="1" applyFill="1" applyBorder="1" applyAlignment="1">
      <alignment/>
    </xf>
    <xf numFmtId="174" fontId="70" fillId="0" borderId="27" xfId="297" applyNumberFormat="1" applyFont="1" applyBorder="1" applyAlignment="1">
      <alignment/>
    </xf>
    <xf numFmtId="10" fontId="70" fillId="2" borderId="27" xfId="558" applyNumberFormat="1" applyFont="1" applyFill="1" applyBorder="1" applyAlignment="1">
      <alignment/>
    </xf>
    <xf numFmtId="10" fontId="70" fillId="0" borderId="27" xfId="558" applyNumberFormat="1" applyFont="1" applyBorder="1" applyAlignment="1">
      <alignment/>
    </xf>
    <xf numFmtId="164" fontId="70" fillId="0" borderId="27" xfId="297" applyNumberFormat="1" applyFont="1" applyBorder="1" applyAlignment="1">
      <alignment/>
    </xf>
    <xf numFmtId="0" fontId="70" fillId="0" borderId="27" xfId="421" applyFont="1" applyBorder="1">
      <alignment/>
      <protection/>
    </xf>
    <xf numFmtId="164" fontId="39" fillId="55" borderId="32" xfId="297" applyNumberFormat="1" applyFont="1" applyFill="1" applyBorder="1" applyAlignment="1" applyProtection="1">
      <alignment horizontal="right" wrapText="1"/>
      <protection/>
    </xf>
    <xf numFmtId="174" fontId="39" fillId="55" borderId="32" xfId="421" applyNumberFormat="1" applyFont="1" applyFill="1" applyBorder="1" applyAlignment="1" applyProtection="1">
      <alignment horizontal="right" wrapText="1"/>
      <protection/>
    </xf>
    <xf numFmtId="0" fontId="39" fillId="55" borderId="32" xfId="421" applyNumberFormat="1" applyFont="1" applyFill="1" applyBorder="1" applyAlignment="1" applyProtection="1">
      <alignment horizontal="left" wrapText="1"/>
      <protection/>
    </xf>
    <xf numFmtId="0" fontId="39" fillId="55" borderId="32" xfId="421" applyNumberFormat="1" applyFont="1" applyFill="1" applyBorder="1" applyAlignment="1" applyProtection="1">
      <alignment horizontal="right" wrapText="1"/>
      <protection/>
    </xf>
    <xf numFmtId="10" fontId="69" fillId="0" borderId="0" xfId="558" applyNumberFormat="1" applyFont="1" applyAlignment="1">
      <alignment/>
    </xf>
    <xf numFmtId="43" fontId="39" fillId="55" borderId="24" xfId="421" applyNumberFormat="1" applyFont="1" applyFill="1" applyBorder="1" applyAlignment="1" applyProtection="1">
      <alignment horizontal="right" wrapText="1"/>
      <protection/>
    </xf>
    <xf numFmtId="165" fontId="39" fillId="55" borderId="24" xfId="558" applyNumberFormat="1" applyFont="1" applyFill="1" applyBorder="1" applyAlignment="1" applyProtection="1">
      <alignment horizontal="right" wrapText="1"/>
      <protection/>
    </xf>
    <xf numFmtId="164" fontId="39" fillId="55" borderId="24" xfId="297" applyNumberFormat="1" applyFont="1" applyFill="1" applyBorder="1" applyAlignment="1" applyProtection="1">
      <alignment horizontal="right" wrapText="1"/>
      <protection/>
    </xf>
    <xf numFmtId="1" fontId="39" fillId="55" borderId="24" xfId="421" applyNumberFormat="1" applyFont="1" applyFill="1" applyBorder="1" applyAlignment="1" applyProtection="1">
      <alignment horizontal="right" wrapText="1"/>
      <protection/>
    </xf>
    <xf numFmtId="0" fontId="69" fillId="0" borderId="0" xfId="421" applyFont="1">
      <alignment/>
      <protection/>
    </xf>
    <xf numFmtId="174" fontId="69" fillId="0" borderId="0" xfId="323" applyNumberFormat="1" applyFont="1" applyAlignment="1">
      <alignment/>
    </xf>
    <xf numFmtId="2" fontId="69" fillId="0" borderId="0" xfId="440" applyNumberFormat="1" applyFont="1">
      <alignment/>
      <protection/>
    </xf>
    <xf numFmtId="174" fontId="39" fillId="55" borderId="24" xfId="421" applyNumberFormat="1" applyFont="1" applyFill="1" applyBorder="1" applyAlignment="1" applyProtection="1">
      <alignment horizontal="right" wrapText="1"/>
      <protection/>
    </xf>
    <xf numFmtId="10" fontId="40" fillId="0" borderId="0" xfId="565" applyNumberFormat="1" applyFont="1" applyFill="1" applyAlignment="1">
      <alignment/>
    </xf>
    <xf numFmtId="164" fontId="41" fillId="0" borderId="0" xfId="297" applyNumberFormat="1" applyFont="1" applyAlignment="1">
      <alignment/>
    </xf>
    <xf numFmtId="10" fontId="41" fillId="0" borderId="0" xfId="565" applyNumberFormat="1" applyFont="1" applyAlignment="1">
      <alignment/>
    </xf>
    <xf numFmtId="10" fontId="40" fillId="0" borderId="0" xfId="565" applyNumberFormat="1" applyFont="1" applyAlignment="1">
      <alignment/>
    </xf>
    <xf numFmtId="0" fontId="39" fillId="55" borderId="24" xfId="421" applyNumberFormat="1" applyFont="1" applyFill="1" applyBorder="1" applyAlignment="1" applyProtection="1">
      <alignment horizontal="left" wrapText="1"/>
      <protection/>
    </xf>
    <xf numFmtId="0" fontId="39" fillId="55" borderId="24" xfId="421" applyNumberFormat="1" applyFont="1" applyFill="1" applyBorder="1" applyAlignment="1" applyProtection="1">
      <alignment horizontal="right" wrapText="1"/>
      <protection/>
    </xf>
    <xf numFmtId="2" fontId="20" fillId="0" borderId="0" xfId="498" applyNumberFormat="1" applyFont="1" applyAlignment="1">
      <alignment wrapText="1"/>
      <protection/>
    </xf>
    <xf numFmtId="10" fontId="20" fillId="0" borderId="0" xfId="565" applyNumberFormat="1" applyFont="1" applyAlignment="1">
      <alignment wrapText="1"/>
    </xf>
    <xf numFmtId="174" fontId="67" fillId="0" borderId="0" xfId="440" applyNumberFormat="1" applyFont="1" applyAlignment="1">
      <alignment wrapText="1"/>
      <protection/>
    </xf>
    <xf numFmtId="1" fontId="67" fillId="0" borderId="0" xfId="440" applyNumberFormat="1" applyFont="1" applyAlignment="1">
      <alignment wrapText="1"/>
      <protection/>
    </xf>
    <xf numFmtId="2" fontId="67" fillId="0" borderId="0" xfId="440" applyNumberFormat="1" applyFont="1" applyAlignment="1">
      <alignment wrapText="1"/>
      <protection/>
    </xf>
    <xf numFmtId="174" fontId="67" fillId="0" borderId="0" xfId="323" applyNumberFormat="1" applyFont="1" applyAlignment="1">
      <alignment wrapText="1"/>
    </xf>
    <xf numFmtId="164" fontId="67" fillId="0" borderId="0" xfId="308" applyNumberFormat="1" applyFont="1" applyAlignment="1">
      <alignment wrapText="1"/>
    </xf>
    <xf numFmtId="10" fontId="20" fillId="0" borderId="0" xfId="498" applyNumberFormat="1" applyFont="1" applyFill="1" applyAlignment="1">
      <alignment wrapText="1"/>
      <protection/>
    </xf>
    <xf numFmtId="10" fontId="20" fillId="0" borderId="0" xfId="498" applyNumberFormat="1" applyFont="1" applyAlignment="1">
      <alignment wrapText="1"/>
      <protection/>
    </xf>
    <xf numFmtId="0" fontId="67" fillId="0" borderId="0" xfId="440" applyFont="1" applyAlignment="1">
      <alignment wrapText="1"/>
      <protection/>
    </xf>
    <xf numFmtId="0" fontId="20" fillId="0" borderId="0" xfId="498" applyFont="1" applyAlignment="1">
      <alignment wrapText="1"/>
      <protection/>
    </xf>
    <xf numFmtId="0" fontId="20" fillId="0" borderId="0" xfId="498" applyFont="1" applyFill="1" applyBorder="1" applyAlignment="1">
      <alignment horizontal="center" wrapText="1"/>
      <protection/>
    </xf>
    <xf numFmtId="0" fontId="19" fillId="0" borderId="0" xfId="498" applyFill="1">
      <alignment/>
      <protection/>
    </xf>
    <xf numFmtId="0" fontId="31" fillId="0" borderId="0" xfId="498" applyFont="1" applyFill="1">
      <alignment/>
      <protection/>
    </xf>
    <xf numFmtId="0" fontId="20" fillId="0" borderId="19" xfId="498" applyFont="1" applyFill="1" applyBorder="1" applyAlignment="1">
      <alignment horizontal="center" wrapText="1"/>
      <protection/>
    </xf>
    <xf numFmtId="0" fontId="20" fillId="57" borderId="19" xfId="498" applyFont="1" applyFill="1" applyBorder="1" applyAlignment="1">
      <alignment horizontal="center" wrapText="1"/>
      <protection/>
    </xf>
    <xf numFmtId="0" fontId="19" fillId="0" borderId="0" xfId="498">
      <alignment/>
      <protection/>
    </xf>
    <xf numFmtId="0" fontId="49" fillId="0" borderId="0" xfId="421" applyFill="1">
      <alignment/>
      <protection/>
    </xf>
    <xf numFmtId="0" fontId="49" fillId="0" borderId="0" xfId="421">
      <alignment/>
      <protection/>
    </xf>
    <xf numFmtId="174" fontId="0" fillId="0" borderId="0" xfId="0" applyNumberFormat="1" applyAlignment="1">
      <alignment/>
    </xf>
    <xf numFmtId="0" fontId="67" fillId="0" borderId="22" xfId="0" applyFont="1" applyBorder="1" applyAlignment="1">
      <alignment vertical="center" wrapText="1"/>
    </xf>
    <xf numFmtId="174" fontId="49" fillId="0" borderId="20" xfId="297" applyNumberFormat="1" applyFont="1" applyBorder="1" applyAlignment="1">
      <alignment/>
    </xf>
    <xf numFmtId="0" fontId="67" fillId="0" borderId="0" xfId="421" applyFont="1">
      <alignment/>
      <protection/>
    </xf>
    <xf numFmtId="164" fontId="18" fillId="0" borderId="0" xfId="0" applyNumberFormat="1" applyFont="1" applyAlignment="1">
      <alignment/>
    </xf>
    <xf numFmtId="0" fontId="29" fillId="55" borderId="33" xfId="0" applyNumberFormat="1" applyFont="1" applyFill="1" applyBorder="1" applyAlignment="1" applyProtection="1">
      <alignment horizontal="right" wrapText="1"/>
      <protection/>
    </xf>
    <xf numFmtId="0" fontId="29" fillId="55" borderId="33" xfId="0" applyNumberFormat="1" applyFont="1" applyFill="1" applyBorder="1" applyAlignment="1" applyProtection="1">
      <alignment horizontal="left" wrapText="1"/>
      <protection/>
    </xf>
    <xf numFmtId="164" fontId="29" fillId="55" borderId="33" xfId="297" applyNumberFormat="1" applyFont="1" applyFill="1" applyBorder="1" applyAlignment="1" applyProtection="1">
      <alignment horizontal="right" wrapText="1"/>
      <protection/>
    </xf>
    <xf numFmtId="164" fontId="30" fillId="55" borderId="33" xfId="297" applyNumberFormat="1" applyFont="1" applyFill="1" applyBorder="1" applyAlignment="1" applyProtection="1">
      <alignment horizontal="right" wrapText="1"/>
      <protection/>
    </xf>
    <xf numFmtId="10" fontId="30" fillId="55" borderId="33" xfId="557" applyNumberFormat="1" applyFont="1" applyFill="1" applyBorder="1" applyAlignment="1" applyProtection="1">
      <alignment horizontal="right" wrapText="1"/>
      <protection/>
    </xf>
    <xf numFmtId="164" fontId="29" fillId="55" borderId="33" xfId="297" applyNumberFormat="1" applyFont="1" applyFill="1" applyBorder="1" applyAlignment="1" applyProtection="1">
      <alignment horizontal="left" wrapText="1"/>
      <protection/>
    </xf>
    <xf numFmtId="9" fontId="0" fillId="0" borderId="0" xfId="557" applyFont="1" applyAlignment="1">
      <alignment/>
    </xf>
    <xf numFmtId="164" fontId="0" fillId="0" borderId="0" xfId="557" applyNumberFormat="1" applyFont="1" applyAlignment="1">
      <alignment/>
    </xf>
    <xf numFmtId="10" fontId="0" fillId="0" borderId="0" xfId="0" applyNumberFormat="1" applyAlignment="1">
      <alignment/>
    </xf>
    <xf numFmtId="164" fontId="18" fillId="0" borderId="0" xfId="557" applyNumberFormat="1" applyFont="1" applyAlignment="1">
      <alignment/>
    </xf>
    <xf numFmtId="165" fontId="49" fillId="0" borderId="22" xfId="558" applyNumberFormat="1" applyFont="1" applyBorder="1" applyAlignment="1">
      <alignment/>
    </xf>
    <xf numFmtId="10" fontId="30" fillId="55" borderId="34" xfId="557" applyNumberFormat="1" applyFont="1" applyFill="1" applyBorder="1" applyAlignment="1" applyProtection="1">
      <alignment horizontal="right" wrapText="1"/>
      <protection/>
    </xf>
    <xf numFmtId="164" fontId="30" fillId="55" borderId="34" xfId="297" applyNumberFormat="1" applyFont="1" applyFill="1" applyBorder="1" applyAlignment="1" applyProtection="1">
      <alignment horizontal="right" wrapText="1"/>
      <protection/>
    </xf>
    <xf numFmtId="164" fontId="0" fillId="0" borderId="35" xfId="0" applyNumberFormat="1" applyBorder="1" applyAlignment="1">
      <alignment/>
    </xf>
    <xf numFmtId="10" fontId="18" fillId="0" borderId="0" xfId="0" applyNumberFormat="1" applyFont="1" applyAlignment="1">
      <alignment/>
    </xf>
    <xf numFmtId="9" fontId="18" fillId="0" borderId="0" xfId="557" applyFont="1" applyAlignment="1">
      <alignment/>
    </xf>
    <xf numFmtId="0" fontId="0" fillId="0" borderId="0" xfId="0" applyFill="1" applyAlignment="1">
      <alignment/>
    </xf>
    <xf numFmtId="10" fontId="18" fillId="0" borderId="0" xfId="557" applyNumberFormat="1" applyFont="1" applyFill="1" applyAlignment="1">
      <alignment/>
    </xf>
    <xf numFmtId="10" fontId="0" fillId="0" borderId="0" xfId="557" applyNumberFormat="1" applyFont="1" applyFill="1" applyAlignment="1">
      <alignment/>
    </xf>
    <xf numFmtId="0" fontId="28" fillId="58" borderId="24" xfId="0" applyNumberFormat="1" applyFont="1" applyFill="1" applyBorder="1" applyAlignment="1" applyProtection="1">
      <alignment horizontal="center" vertical="center" wrapText="1"/>
      <protection/>
    </xf>
    <xf numFmtId="0" fontId="28" fillId="58" borderId="32" xfId="0" applyNumberFormat="1" applyFont="1" applyFill="1" applyBorder="1" applyAlignment="1" applyProtection="1">
      <alignment horizontal="center" vertical="center" wrapText="1"/>
      <protection/>
    </xf>
    <xf numFmtId="0" fontId="28" fillId="18" borderId="32" xfId="0" applyNumberFormat="1" applyFont="1" applyFill="1" applyBorder="1" applyAlignment="1" applyProtection="1">
      <alignment horizontal="center" vertical="center" wrapText="1"/>
      <protection/>
    </xf>
    <xf numFmtId="10" fontId="32" fillId="18" borderId="24" xfId="557" applyNumberFormat="1" applyFont="1" applyFill="1" applyBorder="1" applyAlignment="1" applyProtection="1">
      <alignment horizontal="right" wrapText="1"/>
      <protection/>
    </xf>
    <xf numFmtId="10" fontId="32" fillId="18" borderId="33" xfId="557" applyNumberFormat="1" applyFont="1" applyFill="1" applyBorder="1" applyAlignment="1" applyProtection="1">
      <alignment horizontal="right" wrapText="1"/>
      <protection/>
    </xf>
    <xf numFmtId="0" fontId="18" fillId="4" borderId="0" xfId="0" applyFont="1" applyFill="1" applyAlignment="1">
      <alignment/>
    </xf>
    <xf numFmtId="164" fontId="18" fillId="4" borderId="0" xfId="0" applyNumberFormat="1" applyFont="1" applyFill="1" applyAlignment="1">
      <alignment/>
    </xf>
    <xf numFmtId="10" fontId="18" fillId="4" borderId="0" xfId="557" applyNumberFormat="1" applyFont="1" applyFill="1" applyAlignment="1">
      <alignment/>
    </xf>
    <xf numFmtId="164" fontId="30" fillId="4" borderId="24" xfId="297" applyNumberFormat="1" applyFont="1" applyFill="1" applyBorder="1" applyAlignment="1" applyProtection="1">
      <alignment horizontal="right" wrapText="1"/>
      <protection/>
    </xf>
    <xf numFmtId="164" fontId="18" fillId="4" borderId="0" xfId="557" applyNumberFormat="1" applyFont="1" applyFill="1" applyAlignment="1">
      <alignment/>
    </xf>
    <xf numFmtId="10" fontId="18" fillId="4" borderId="0" xfId="557" applyNumberFormat="1" applyFont="1" applyFill="1" applyAlignment="1">
      <alignment horizontal="right"/>
    </xf>
    <xf numFmtId="10" fontId="30" fillId="4" borderId="24" xfId="557" applyNumberFormat="1" applyFont="1" applyFill="1" applyBorder="1" applyAlignment="1" applyProtection="1">
      <alignment horizontal="right" wrapText="1"/>
      <protection/>
    </xf>
    <xf numFmtId="10" fontId="30" fillId="4" borderId="34" xfId="557" applyNumberFormat="1" applyFont="1" applyFill="1" applyBorder="1" applyAlignment="1" applyProtection="1">
      <alignment horizontal="right" wrapText="1"/>
      <protection/>
    </xf>
    <xf numFmtId="0" fontId="67" fillId="59" borderId="36" xfId="421" applyFont="1" applyFill="1" applyBorder="1" applyAlignment="1">
      <alignment wrapText="1"/>
      <protection/>
    </xf>
    <xf numFmtId="0" fontId="67" fillId="59" borderId="36" xfId="421" applyFont="1" applyFill="1" applyBorder="1" applyAlignment="1">
      <alignment/>
      <protection/>
    </xf>
    <xf numFmtId="0" fontId="67" fillId="59" borderId="37" xfId="421" applyFont="1" applyFill="1" applyBorder="1" applyAlignment="1">
      <alignment wrapText="1"/>
      <protection/>
    </xf>
    <xf numFmtId="0" fontId="67" fillId="60" borderId="38" xfId="421" applyFont="1" applyFill="1" applyBorder="1" applyAlignment="1">
      <alignment wrapText="1"/>
      <protection/>
    </xf>
    <xf numFmtId="0" fontId="67" fillId="60" borderId="22" xfId="421" applyFont="1" applyFill="1" applyBorder="1" applyAlignment="1">
      <alignment wrapText="1"/>
      <protection/>
    </xf>
    <xf numFmtId="0" fontId="42" fillId="60" borderId="39" xfId="421" applyNumberFormat="1" applyFont="1" applyFill="1" applyBorder="1" applyAlignment="1" applyProtection="1">
      <alignment horizontal="center" wrapText="1"/>
      <protection/>
    </xf>
    <xf numFmtId="0" fontId="67" fillId="57" borderId="40" xfId="421" applyFont="1" applyFill="1" applyBorder="1" applyAlignment="1">
      <alignment horizontal="right" wrapText="1"/>
      <protection/>
    </xf>
    <xf numFmtId="0" fontId="67" fillId="57" borderId="41" xfId="421" applyFont="1" applyFill="1" applyBorder="1" applyAlignment="1">
      <alignment horizontal="right" wrapText="1"/>
      <protection/>
    </xf>
    <xf numFmtId="0" fontId="42" fillId="57" borderId="42" xfId="421" applyNumberFormat="1" applyFont="1" applyFill="1" applyBorder="1" applyAlignment="1" applyProtection="1">
      <alignment horizontal="right" wrapText="1"/>
      <protection/>
    </xf>
    <xf numFmtId="0" fontId="67" fillId="59" borderId="36" xfId="421" applyFont="1" applyFill="1" applyBorder="1" applyAlignment="1">
      <alignment horizontal="center" vertical="center" wrapText="1"/>
      <protection/>
    </xf>
    <xf numFmtId="0" fontId="67" fillId="59" borderId="43" xfId="421" applyFont="1" applyFill="1" applyBorder="1" applyAlignment="1">
      <alignment horizontal="center" vertical="center"/>
      <protection/>
    </xf>
    <xf numFmtId="0" fontId="67" fillId="59" borderId="44" xfId="421" applyFont="1" applyFill="1" applyBorder="1" applyAlignment="1">
      <alignment horizontal="center" vertical="center" wrapText="1"/>
      <protection/>
    </xf>
    <xf numFmtId="0" fontId="67" fillId="60" borderId="45" xfId="421" applyFont="1" applyFill="1" applyBorder="1" applyAlignment="1">
      <alignment horizontal="center" vertical="center" wrapText="1"/>
      <protection/>
    </xf>
    <xf numFmtId="0" fontId="67" fillId="60" borderId="46" xfId="421" applyFont="1" applyFill="1" applyBorder="1" applyAlignment="1">
      <alignment horizontal="center" vertical="center" wrapText="1"/>
      <protection/>
    </xf>
    <xf numFmtId="0" fontId="42" fillId="60" borderId="47" xfId="421" applyNumberFormat="1" applyFont="1" applyFill="1" applyBorder="1" applyAlignment="1" applyProtection="1">
      <alignment horizontal="center" vertical="center" wrapText="1"/>
      <protection/>
    </xf>
    <xf numFmtId="0" fontId="67" fillId="57" borderId="45" xfId="421" applyFont="1" applyFill="1" applyBorder="1" applyAlignment="1">
      <alignment horizontal="right" wrapText="1"/>
      <protection/>
    </xf>
    <xf numFmtId="0" fontId="67" fillId="57" borderId="46" xfId="421" applyFont="1" applyFill="1" applyBorder="1" applyAlignment="1">
      <alignment horizontal="right" wrapText="1"/>
      <protection/>
    </xf>
    <xf numFmtId="0" fontId="42" fillId="57" borderId="48" xfId="421" applyNumberFormat="1" applyFont="1" applyFill="1" applyBorder="1" applyAlignment="1" applyProtection="1">
      <alignment horizontal="right" wrapText="1"/>
      <protection/>
    </xf>
    <xf numFmtId="0" fontId="43" fillId="55" borderId="40" xfId="421" applyNumberFormat="1" applyFont="1" applyFill="1" applyBorder="1" applyAlignment="1" applyProtection="1">
      <alignment horizontal="right" wrapText="1"/>
      <protection/>
    </xf>
    <xf numFmtId="0" fontId="43" fillId="55" borderId="41" xfId="421" applyNumberFormat="1" applyFont="1" applyFill="1" applyBorder="1" applyAlignment="1" applyProtection="1">
      <alignment horizontal="left"/>
      <protection/>
    </xf>
    <xf numFmtId="0" fontId="43" fillId="55" borderId="49" xfId="421" applyNumberFormat="1" applyFont="1" applyFill="1" applyBorder="1" applyAlignment="1" applyProtection="1">
      <alignment horizontal="left" wrapText="1"/>
      <protection/>
    </xf>
    <xf numFmtId="0" fontId="1" fillId="55" borderId="40" xfId="421" applyNumberFormat="1" applyFont="1" applyFill="1" applyBorder="1" applyAlignment="1" applyProtection="1">
      <alignment horizontal="right" wrapText="1"/>
      <protection/>
    </xf>
    <xf numFmtId="0" fontId="1" fillId="55" borderId="41" xfId="421" applyNumberFormat="1" applyFont="1" applyFill="1" applyBorder="1" applyAlignment="1" applyProtection="1">
      <alignment horizontal="right" wrapText="1"/>
      <protection/>
    </xf>
    <xf numFmtId="165" fontId="49" fillId="0" borderId="41" xfId="558" applyNumberFormat="1" applyFont="1" applyBorder="1" applyAlignment="1">
      <alignment/>
    </xf>
    <xf numFmtId="165" fontId="49" fillId="0" borderId="49" xfId="558" applyNumberFormat="1" applyFont="1" applyBorder="1" applyAlignment="1">
      <alignment/>
    </xf>
    <xf numFmtId="174" fontId="49" fillId="0" borderId="40" xfId="558" applyNumberFormat="1" applyFont="1" applyBorder="1" applyAlignment="1">
      <alignment/>
    </xf>
    <xf numFmtId="6" fontId="1" fillId="55" borderId="41" xfId="421" applyNumberFormat="1" applyFont="1" applyFill="1" applyBorder="1" applyAlignment="1" applyProtection="1">
      <alignment horizontal="right" wrapText="1"/>
      <protection/>
    </xf>
    <xf numFmtId="174" fontId="1" fillId="55" borderId="41" xfId="464" applyNumberFormat="1" applyFont="1" applyFill="1" applyBorder="1" applyAlignment="1" applyProtection="1">
      <alignment horizontal="right" wrapText="1"/>
      <protection/>
    </xf>
    <xf numFmtId="165" fontId="49" fillId="0" borderId="42" xfId="558" applyNumberFormat="1" applyFont="1" applyBorder="1" applyAlignment="1">
      <alignment/>
    </xf>
    <xf numFmtId="0" fontId="43" fillId="55" borderId="38" xfId="421" applyNumberFormat="1" applyFont="1" applyFill="1" applyBorder="1" applyAlignment="1" applyProtection="1">
      <alignment horizontal="right" wrapText="1"/>
      <protection/>
    </xf>
    <xf numFmtId="0" fontId="43" fillId="55" borderId="22" xfId="421" applyNumberFormat="1" applyFont="1" applyFill="1" applyBorder="1" applyAlignment="1" applyProtection="1">
      <alignment horizontal="left"/>
      <protection/>
    </xf>
    <xf numFmtId="0" fontId="43" fillId="55" borderId="39" xfId="421" applyNumberFormat="1" applyFont="1" applyFill="1" applyBorder="1" applyAlignment="1" applyProtection="1">
      <alignment horizontal="left" wrapText="1"/>
      <protection/>
    </xf>
    <xf numFmtId="0" fontId="1" fillId="55" borderId="38" xfId="421" applyNumberFormat="1" applyFont="1" applyFill="1" applyBorder="1" applyAlignment="1" applyProtection="1">
      <alignment horizontal="right" wrapText="1"/>
      <protection/>
    </xf>
    <xf numFmtId="0" fontId="1" fillId="55" borderId="22" xfId="421" applyNumberFormat="1" applyFont="1" applyFill="1" applyBorder="1" applyAlignment="1" applyProtection="1">
      <alignment horizontal="right" wrapText="1"/>
      <protection/>
    </xf>
    <xf numFmtId="165" fontId="49" fillId="0" borderId="39" xfId="558" applyNumberFormat="1" applyFont="1" applyBorder="1" applyAlignment="1">
      <alignment/>
    </xf>
    <xf numFmtId="174" fontId="49" fillId="0" borderId="38" xfId="558" applyNumberFormat="1" applyFont="1" applyBorder="1" applyAlignment="1">
      <alignment/>
    </xf>
    <xf numFmtId="6" fontId="1" fillId="55" borderId="22" xfId="421" applyNumberFormat="1" applyFont="1" applyFill="1" applyBorder="1" applyAlignment="1" applyProtection="1">
      <alignment horizontal="right" wrapText="1"/>
      <protection/>
    </xf>
    <xf numFmtId="174" fontId="1" fillId="55" borderId="22" xfId="464" applyNumberFormat="1" applyFont="1" applyFill="1" applyBorder="1" applyAlignment="1" applyProtection="1">
      <alignment horizontal="right" wrapText="1"/>
      <protection/>
    </xf>
    <xf numFmtId="165" fontId="49" fillId="0" borderId="50" xfId="558" applyNumberFormat="1" applyFont="1" applyBorder="1" applyAlignment="1">
      <alignment/>
    </xf>
    <xf numFmtId="0" fontId="67" fillId="59" borderId="51" xfId="421" applyFont="1" applyFill="1" applyBorder="1">
      <alignment/>
      <protection/>
    </xf>
    <xf numFmtId="0" fontId="43" fillId="61" borderId="52" xfId="421" applyNumberFormat="1" applyFont="1" applyFill="1" applyBorder="1" applyAlignment="1" applyProtection="1">
      <alignment horizontal="right" wrapText="1"/>
      <protection/>
    </xf>
    <xf numFmtId="165" fontId="71" fillId="61" borderId="53" xfId="558" applyNumberFormat="1" applyFont="1" applyFill="1" applyBorder="1" applyAlignment="1">
      <alignment/>
    </xf>
    <xf numFmtId="165" fontId="71" fillId="61" borderId="54" xfId="558" applyNumberFormat="1" applyFont="1" applyFill="1" applyBorder="1" applyAlignment="1">
      <alignment/>
    </xf>
    <xf numFmtId="174" fontId="71" fillId="61" borderId="52" xfId="558" applyNumberFormat="1" applyFont="1" applyFill="1" applyBorder="1" applyAlignment="1">
      <alignment/>
    </xf>
    <xf numFmtId="174" fontId="71" fillId="61" borderId="53" xfId="421" applyNumberFormat="1" applyFont="1" applyFill="1" applyBorder="1">
      <alignment/>
      <protection/>
    </xf>
    <xf numFmtId="0" fontId="49" fillId="0" borderId="0" xfId="421" applyAlignment="1">
      <alignment/>
      <protection/>
    </xf>
    <xf numFmtId="0" fontId="29" fillId="55" borderId="24" xfId="421" applyNumberFormat="1" applyFont="1" applyFill="1" applyBorder="1" applyAlignment="1" applyProtection="1">
      <alignment horizontal="right" wrapText="1"/>
      <protection/>
    </xf>
    <xf numFmtId="14" fontId="67" fillId="0" borderId="0" xfId="421" applyNumberFormat="1" applyFont="1">
      <alignment/>
      <protection/>
    </xf>
    <xf numFmtId="179" fontId="49" fillId="0" borderId="0" xfId="421" applyNumberFormat="1">
      <alignment/>
      <protection/>
    </xf>
    <xf numFmtId="0" fontId="67" fillId="0" borderId="0" xfId="0" applyFont="1" applyBorder="1" applyAlignment="1">
      <alignment wrapText="1"/>
    </xf>
    <xf numFmtId="0" fontId="19" fillId="0" borderId="55" xfId="436" applyFill="1" applyBorder="1">
      <alignment/>
      <protection/>
    </xf>
    <xf numFmtId="0" fontId="19" fillId="0" borderId="56" xfId="436" applyBorder="1">
      <alignment/>
      <protection/>
    </xf>
    <xf numFmtId="49" fontId="19" fillId="0" borderId="57" xfId="436" applyNumberFormat="1" applyBorder="1">
      <alignment/>
      <protection/>
    </xf>
    <xf numFmtId="0" fontId="19" fillId="0" borderId="57" xfId="436" applyBorder="1">
      <alignment/>
      <protection/>
    </xf>
    <xf numFmtId="0" fontId="67" fillId="0" borderId="58" xfId="0" applyFont="1" applyBorder="1" applyAlignment="1">
      <alignment wrapText="1"/>
    </xf>
    <xf numFmtId="164" fontId="49" fillId="0" borderId="59" xfId="297" applyNumberFormat="1" applyFont="1" applyBorder="1" applyAlignment="1">
      <alignment/>
    </xf>
    <xf numFmtId="164" fontId="49" fillId="0" borderId="29" xfId="297" applyNumberFormat="1" applyFont="1" applyBorder="1" applyAlignment="1">
      <alignment/>
    </xf>
    <xf numFmtId="164" fontId="49" fillId="0" borderId="60" xfId="297" applyNumberFormat="1" applyFont="1" applyBorder="1" applyAlignment="1">
      <alignment/>
    </xf>
    <xf numFmtId="0" fontId="67" fillId="0" borderId="39" xfId="0" applyFont="1" applyBorder="1" applyAlignment="1">
      <alignment wrapText="1"/>
    </xf>
    <xf numFmtId="164" fontId="49" fillId="0" borderId="0" xfId="297" applyNumberFormat="1" applyFont="1" applyBorder="1" applyAlignment="1">
      <alignment/>
    </xf>
    <xf numFmtId="0" fontId="67" fillId="0" borderId="61" xfId="0" applyFont="1" applyBorder="1" applyAlignment="1">
      <alignment wrapText="1"/>
    </xf>
    <xf numFmtId="0" fontId="67" fillId="0" borderId="0" xfId="0" applyFont="1" applyAlignment="1">
      <alignment/>
    </xf>
    <xf numFmtId="0" fontId="67" fillId="0" borderId="22" xfId="0" applyFont="1" applyBorder="1" applyAlignment="1">
      <alignment vertical="center" wrapText="1"/>
    </xf>
    <xf numFmtId="174" fontId="49" fillId="0" borderId="20" xfId="297" applyNumberFormat="1" applyFont="1" applyBorder="1" applyAlignment="1">
      <alignment/>
    </xf>
    <xf numFmtId="0" fontId="67" fillId="0" borderId="22" xfId="0" applyFont="1" applyBorder="1" applyAlignment="1">
      <alignment horizontal="center" vertical="center" wrapText="1"/>
    </xf>
    <xf numFmtId="164" fontId="49" fillId="0" borderId="20" xfId="297" applyNumberFormat="1" applyFont="1" applyBorder="1" applyAlignment="1">
      <alignment/>
    </xf>
    <xf numFmtId="164" fontId="49" fillId="0" borderId="26" xfId="297" applyNumberFormat="1" applyFont="1" applyBorder="1" applyAlignment="1">
      <alignment/>
    </xf>
    <xf numFmtId="164" fontId="67" fillId="0" borderId="22" xfId="297" applyNumberFormat="1" applyFont="1" applyBorder="1" applyAlignment="1">
      <alignment/>
    </xf>
    <xf numFmtId="174" fontId="67" fillId="0" borderId="22" xfId="297" applyNumberFormat="1" applyFont="1" applyBorder="1" applyAlignment="1">
      <alignment/>
    </xf>
    <xf numFmtId="0" fontId="67" fillId="0" borderId="0" xfId="0" applyFont="1" applyBorder="1" applyAlignment="1">
      <alignment/>
    </xf>
    <xf numFmtId="10" fontId="67" fillId="0" borderId="0" xfId="557" applyNumberFormat="1" applyFont="1" applyBorder="1" applyAlignment="1">
      <alignment/>
    </xf>
    <xf numFmtId="164" fontId="49" fillId="0" borderId="20" xfId="297" applyNumberFormat="1" applyFont="1" applyBorder="1" applyAlignment="1">
      <alignment/>
    </xf>
    <xf numFmtId="0" fontId="67" fillId="0" borderId="27" xfId="0" applyFont="1" applyBorder="1" applyAlignment="1">
      <alignment/>
    </xf>
    <xf numFmtId="3" fontId="67" fillId="0" borderId="27" xfId="0" applyNumberFormat="1" applyFont="1" applyBorder="1" applyAlignment="1">
      <alignment/>
    </xf>
    <xf numFmtId="164" fontId="67" fillId="0" borderId="27" xfId="557" applyNumberFormat="1" applyFont="1" applyBorder="1" applyAlignment="1">
      <alignment/>
    </xf>
    <xf numFmtId="0" fontId="67" fillId="0" borderId="22" xfId="0" applyFont="1" applyBorder="1" applyAlignment="1">
      <alignment wrapText="1"/>
    </xf>
    <xf numFmtId="164" fontId="49" fillId="0" borderId="31" xfId="297" applyNumberFormat="1" applyFont="1" applyBorder="1" applyAlignment="1">
      <alignment/>
    </xf>
    <xf numFmtId="10" fontId="49" fillId="0" borderId="31" xfId="557" applyNumberFormat="1" applyFont="1" applyBorder="1" applyAlignment="1">
      <alignment/>
    </xf>
    <xf numFmtId="164" fontId="49" fillId="0" borderId="23" xfId="297" applyNumberFormat="1" applyFont="1" applyBorder="1" applyAlignment="1">
      <alignment/>
    </xf>
    <xf numFmtId="164" fontId="49" fillId="0" borderId="62" xfId="297" applyNumberFormat="1" applyFont="1" applyBorder="1" applyAlignment="1">
      <alignment/>
    </xf>
    <xf numFmtId="164" fontId="49" fillId="0" borderId="21" xfId="297" applyNumberFormat="1" applyFont="1" applyBorder="1" applyAlignment="1">
      <alignment/>
    </xf>
    <xf numFmtId="164" fontId="67" fillId="0" borderId="0" xfId="557" applyNumberFormat="1" applyFont="1" applyBorder="1" applyAlignment="1">
      <alignment/>
    </xf>
    <xf numFmtId="3" fontId="0" fillId="0" borderId="0" xfId="500" applyNumberFormat="1">
      <alignment/>
      <protection/>
    </xf>
    <xf numFmtId="10" fontId="19" fillId="0" borderId="22" xfId="557" applyNumberFormat="1" applyFont="1" applyBorder="1" applyAlignment="1">
      <alignment/>
    </xf>
    <xf numFmtId="0" fontId="67" fillId="6" borderId="22" xfId="0" applyFont="1" applyFill="1" applyBorder="1" applyAlignment="1">
      <alignment vertical="center" wrapText="1"/>
    </xf>
    <xf numFmtId="10" fontId="18" fillId="0" borderId="22" xfId="0" applyNumberFormat="1" applyFont="1" applyBorder="1" applyAlignment="1">
      <alignment/>
    </xf>
    <xf numFmtId="10" fontId="18" fillId="0" borderId="22" xfId="557" applyNumberFormat="1" applyFont="1" applyBorder="1" applyAlignment="1">
      <alignment/>
    </xf>
    <xf numFmtId="10" fontId="0" fillId="0" borderId="22" xfId="557" applyNumberFormat="1" applyFont="1" applyBorder="1" applyAlignment="1">
      <alignment/>
    </xf>
    <xf numFmtId="3" fontId="67" fillId="0" borderId="22" xfId="0" applyNumberFormat="1" applyFont="1" applyBorder="1" applyAlignment="1">
      <alignment/>
    </xf>
    <xf numFmtId="0" fontId="19" fillId="0" borderId="22" xfId="436" applyFill="1" applyBorder="1">
      <alignment/>
      <protection/>
    </xf>
    <xf numFmtId="49" fontId="19" fillId="0" borderId="22" xfId="436" applyNumberFormat="1" applyBorder="1">
      <alignment/>
      <protection/>
    </xf>
    <xf numFmtId="10" fontId="49" fillId="0" borderId="22" xfId="557" applyNumberFormat="1" applyFont="1" applyBorder="1" applyAlignment="1">
      <alignment/>
    </xf>
    <xf numFmtId="0" fontId="19" fillId="0" borderId="22" xfId="436" applyBorder="1">
      <alignment/>
      <protection/>
    </xf>
    <xf numFmtId="165" fontId="18" fillId="0" borderId="22" xfId="557" applyNumberFormat="1" applyFont="1" applyBorder="1" applyAlignment="1">
      <alignment/>
    </xf>
    <xf numFmtId="165" fontId="0" fillId="0" borderId="22" xfId="557" applyNumberFormat="1" applyFont="1" applyBorder="1" applyAlignment="1">
      <alignment/>
    </xf>
    <xf numFmtId="3" fontId="0" fillId="0" borderId="22" xfId="500" applyNumberFormat="1" applyBorder="1">
      <alignment/>
      <protection/>
    </xf>
    <xf numFmtId="10" fontId="0" fillId="0" borderId="22" xfId="0" applyNumberFormat="1" applyBorder="1" applyAlignment="1">
      <alignment/>
    </xf>
    <xf numFmtId="165" fontId="0" fillId="0" borderId="22" xfId="557" applyNumberFormat="1" applyFont="1" applyBorder="1" applyAlignment="1">
      <alignment/>
    </xf>
    <xf numFmtId="3" fontId="19" fillId="0" borderId="22" xfId="436" applyNumberFormat="1" applyBorder="1">
      <alignment/>
      <protection/>
    </xf>
    <xf numFmtId="10" fontId="67" fillId="0" borderId="22" xfId="557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Fill="1" applyBorder="1" applyAlignment="1">
      <alignment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0" fillId="0" borderId="65" xfId="0" applyBorder="1" applyAlignment="1">
      <alignment horizontal="left"/>
    </xf>
    <xf numFmtId="0" fontId="0" fillId="0" borderId="65" xfId="0" applyBorder="1" applyAlignment="1">
      <alignment/>
    </xf>
    <xf numFmtId="10" fontId="0" fillId="0" borderId="20" xfId="557" applyNumberFormat="1" applyFont="1" applyBorder="1" applyAlignment="1">
      <alignment/>
    </xf>
    <xf numFmtId="10" fontId="67" fillId="0" borderId="27" xfId="557" applyNumberFormat="1" applyFont="1" applyFill="1" applyBorder="1" applyAlignment="1">
      <alignment/>
    </xf>
    <xf numFmtId="0" fontId="67" fillId="0" borderId="47" xfId="0" applyFont="1" applyFill="1" applyBorder="1" applyAlignment="1">
      <alignment wrapText="1"/>
    </xf>
    <xf numFmtId="0" fontId="67" fillId="0" borderId="46" xfId="0" applyFont="1" applyFill="1" applyBorder="1" applyAlignment="1">
      <alignment wrapText="1"/>
    </xf>
    <xf numFmtId="9" fontId="0" fillId="0" borderId="61" xfId="557" applyFont="1" applyBorder="1" applyAlignment="1">
      <alignment/>
    </xf>
    <xf numFmtId="9" fontId="0" fillId="0" borderId="66" xfId="557" applyFont="1" applyBorder="1" applyAlignment="1">
      <alignment/>
    </xf>
    <xf numFmtId="9" fontId="0" fillId="0" borderId="66" xfId="557" applyFont="1" applyFill="1" applyBorder="1" applyAlignment="1">
      <alignment/>
    </xf>
    <xf numFmtId="9" fontId="0" fillId="62" borderId="66" xfId="557" applyFont="1" applyFill="1" applyBorder="1" applyAlignment="1">
      <alignment/>
    </xf>
    <xf numFmtId="0" fontId="0" fillId="0" borderId="67" xfId="0" applyBorder="1" applyAlignment="1">
      <alignment/>
    </xf>
    <xf numFmtId="165" fontId="72" fillId="0" borderId="20" xfId="557" applyNumberFormat="1" applyFont="1" applyBorder="1" applyAlignment="1">
      <alignment/>
    </xf>
    <xf numFmtId="10" fontId="72" fillId="0" borderId="20" xfId="557" applyNumberFormat="1" applyFont="1" applyBorder="1" applyAlignment="1">
      <alignment/>
    </xf>
    <xf numFmtId="10" fontId="49" fillId="62" borderId="22" xfId="557" applyNumberFormat="1" applyFont="1" applyFill="1" applyBorder="1" applyAlignment="1">
      <alignment/>
    </xf>
    <xf numFmtId="164" fontId="49" fillId="62" borderId="22" xfId="297" applyNumberFormat="1" applyFont="1" applyFill="1" applyBorder="1" applyAlignment="1">
      <alignment/>
    </xf>
    <xf numFmtId="10" fontId="0" fillId="62" borderId="22" xfId="557" applyNumberFormat="1" applyFont="1" applyFill="1" applyBorder="1" applyAlignment="1">
      <alignment/>
    </xf>
    <xf numFmtId="10" fontId="19" fillId="62" borderId="22" xfId="557" applyNumberFormat="1" applyFont="1" applyFill="1" applyBorder="1" applyAlignment="1">
      <alignment/>
    </xf>
    <xf numFmtId="0" fontId="67" fillId="4" borderId="22" xfId="0" applyFont="1" applyFill="1" applyBorder="1" applyAlignment="1">
      <alignment vertical="center" wrapText="1"/>
    </xf>
    <xf numFmtId="0" fontId="18" fillId="0" borderId="64" xfId="0" applyFont="1" applyFill="1" applyBorder="1" applyAlignment="1">
      <alignment/>
    </xf>
    <xf numFmtId="0" fontId="18" fillId="0" borderId="56" xfId="0" applyFont="1" applyBorder="1" applyAlignment="1">
      <alignment/>
    </xf>
    <xf numFmtId="0" fontId="18" fillId="0" borderId="65" xfId="0" applyFont="1" applyBorder="1" applyAlignment="1">
      <alignment/>
    </xf>
    <xf numFmtId="164" fontId="33" fillId="55" borderId="24" xfId="297" applyNumberFormat="1" applyFont="1" applyFill="1" applyBorder="1" applyAlignment="1" applyProtection="1">
      <alignment horizontal="right" wrapText="1"/>
      <protection/>
    </xf>
    <xf numFmtId="0" fontId="33" fillId="55" borderId="24" xfId="0" applyNumberFormat="1" applyFont="1" applyFill="1" applyBorder="1" applyAlignment="1" applyProtection="1">
      <alignment horizontal="right" wrapText="1"/>
      <protection/>
    </xf>
    <xf numFmtId="0" fontId="33" fillId="55" borderId="24" xfId="0" applyNumberFormat="1" applyFont="1" applyFill="1" applyBorder="1" applyAlignment="1" applyProtection="1">
      <alignment horizontal="left" wrapText="1"/>
      <protection/>
    </xf>
    <xf numFmtId="174" fontId="33" fillId="55" borderId="24" xfId="297" applyNumberFormat="1" applyFont="1" applyFill="1" applyBorder="1" applyAlignment="1" applyProtection="1">
      <alignment horizontal="right" wrapText="1"/>
      <protection/>
    </xf>
    <xf numFmtId="10" fontId="33" fillId="0" borderId="24" xfId="557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Alignment="1">
      <alignment/>
    </xf>
    <xf numFmtId="10" fontId="34" fillId="0" borderId="24" xfId="557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9" fontId="0" fillId="0" borderId="20" xfId="557" applyFont="1" applyBorder="1" applyAlignment="1">
      <alignment/>
    </xf>
    <xf numFmtId="9" fontId="0" fillId="0" borderId="26" xfId="557" applyFont="1" applyBorder="1" applyAlignment="1">
      <alignment/>
    </xf>
    <xf numFmtId="9" fontId="18" fillId="0" borderId="22" xfId="557" applyFont="1" applyBorder="1" applyAlignment="1">
      <alignment/>
    </xf>
    <xf numFmtId="0" fontId="28" fillId="4" borderId="24" xfId="0" applyNumberFormat="1" applyFont="1" applyFill="1" applyBorder="1" applyAlignment="1" applyProtection="1">
      <alignment horizontal="center" vertical="center" wrapText="1"/>
      <protection/>
    </xf>
    <xf numFmtId="10" fontId="34" fillId="4" borderId="24" xfId="557" applyNumberFormat="1" applyFont="1" applyFill="1" applyBorder="1" applyAlignment="1" applyProtection="1">
      <alignment horizontal="right" wrapText="1"/>
      <protection/>
    </xf>
    <xf numFmtId="0" fontId="18" fillId="0" borderId="0" xfId="0" applyFont="1" applyBorder="1" applyAlignment="1">
      <alignment/>
    </xf>
    <xf numFmtId="174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0" fontId="18" fillId="0" borderId="0" xfId="557" applyNumberFormat="1" applyFont="1" applyFill="1" applyBorder="1" applyAlignment="1">
      <alignment/>
    </xf>
    <xf numFmtId="164" fontId="18" fillId="0" borderId="0" xfId="557" applyNumberFormat="1" applyFont="1" applyBorder="1" applyAlignment="1">
      <alignment/>
    </xf>
    <xf numFmtId="10" fontId="18" fillId="0" borderId="56" xfId="0" applyNumberFormat="1" applyFont="1" applyBorder="1" applyAlignment="1">
      <alignment/>
    </xf>
    <xf numFmtId="10" fontId="18" fillId="0" borderId="64" xfId="557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65" fontId="18" fillId="0" borderId="0" xfId="557" applyNumberFormat="1" applyFont="1" applyAlignment="1">
      <alignment/>
    </xf>
    <xf numFmtId="0" fontId="0" fillId="0" borderId="0" xfId="0" applyBorder="1" applyAlignment="1">
      <alignment horizontal="left"/>
    </xf>
    <xf numFmtId="0" fontId="43" fillId="55" borderId="0" xfId="421" applyNumberFormat="1" applyFont="1" applyFill="1" applyBorder="1" applyAlignment="1" applyProtection="1">
      <alignment horizontal="left" wrapText="1"/>
      <protection/>
    </xf>
    <xf numFmtId="0" fontId="33" fillId="55" borderId="68" xfId="0" applyNumberFormat="1" applyFont="1" applyFill="1" applyBorder="1" applyAlignment="1" applyProtection="1">
      <alignment horizontal="right" wrapText="1"/>
      <protection/>
    </xf>
    <xf numFmtId="0" fontId="33" fillId="55" borderId="68" xfId="0" applyNumberFormat="1" applyFont="1" applyFill="1" applyBorder="1" applyAlignment="1" applyProtection="1">
      <alignment horizontal="left" wrapText="1"/>
      <protection/>
    </xf>
    <xf numFmtId="174" fontId="33" fillId="55" borderId="68" xfId="297" applyNumberFormat="1" applyFont="1" applyFill="1" applyBorder="1" applyAlignment="1" applyProtection="1">
      <alignment horizontal="right" wrapText="1"/>
      <protection/>
    </xf>
    <xf numFmtId="164" fontId="33" fillId="55" borderId="68" xfId="297" applyNumberFormat="1" applyFont="1" applyFill="1" applyBorder="1" applyAlignment="1" applyProtection="1">
      <alignment horizontal="right" wrapText="1"/>
      <protection/>
    </xf>
    <xf numFmtId="10" fontId="33" fillId="0" borderId="68" xfId="557" applyNumberFormat="1" applyFont="1" applyFill="1" applyBorder="1" applyAlignment="1" applyProtection="1">
      <alignment horizontal="right" wrapText="1"/>
      <protection/>
    </xf>
    <xf numFmtId="164" fontId="0" fillId="0" borderId="69" xfId="0" applyNumberFormat="1" applyFont="1" applyBorder="1" applyAlignment="1">
      <alignment/>
    </xf>
    <xf numFmtId="10" fontId="34" fillId="4" borderId="68" xfId="557" applyNumberFormat="1" applyFont="1" applyFill="1" applyBorder="1" applyAlignment="1" applyProtection="1">
      <alignment horizontal="right" wrapText="1"/>
      <protection/>
    </xf>
    <xf numFmtId="0" fontId="0" fillId="0" borderId="69" xfId="0" applyFont="1" applyBorder="1" applyAlignment="1">
      <alignment/>
    </xf>
    <xf numFmtId="10" fontId="34" fillId="0" borderId="68" xfId="557" applyNumberFormat="1" applyFont="1" applyFill="1" applyBorder="1" applyAlignment="1" applyProtection="1">
      <alignment horizontal="right" wrapText="1"/>
      <protection/>
    </xf>
    <xf numFmtId="0" fontId="33" fillId="55" borderId="0" xfId="0" applyNumberFormat="1" applyFont="1" applyFill="1" applyBorder="1" applyAlignment="1" applyProtection="1">
      <alignment horizontal="right" wrapText="1"/>
      <protection/>
    </xf>
    <xf numFmtId="0" fontId="33" fillId="55" borderId="0" xfId="0" applyNumberFormat="1" applyFont="1" applyFill="1" applyBorder="1" applyAlignment="1" applyProtection="1">
      <alignment horizontal="left" wrapText="1"/>
      <protection/>
    </xf>
    <xf numFmtId="174" fontId="33" fillId="55" borderId="0" xfId="297" applyNumberFormat="1" applyFont="1" applyFill="1" applyBorder="1" applyAlignment="1" applyProtection="1">
      <alignment horizontal="right" wrapText="1"/>
      <protection/>
    </xf>
    <xf numFmtId="164" fontId="33" fillId="55" borderId="0" xfId="297" applyNumberFormat="1" applyFont="1" applyFill="1" applyBorder="1" applyAlignment="1" applyProtection="1">
      <alignment horizontal="right" wrapText="1"/>
      <protection/>
    </xf>
    <xf numFmtId="10" fontId="33" fillId="0" borderId="0" xfId="557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Border="1" applyAlignment="1">
      <alignment/>
    </xf>
    <xf numFmtId="10" fontId="34" fillId="4" borderId="0" xfId="557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10" fontId="34" fillId="0" borderId="0" xfId="557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wrapText="1"/>
    </xf>
    <xf numFmtId="207" fontId="18" fillId="0" borderId="65" xfId="297" applyNumberFormat="1" applyFont="1" applyBorder="1" applyAlignment="1">
      <alignment/>
    </xf>
    <xf numFmtId="10" fontId="28" fillId="4" borderId="24" xfId="557" applyNumberFormat="1" applyFont="1" applyFill="1" applyBorder="1" applyAlignment="1" applyProtection="1">
      <alignment horizontal="center" vertical="center" wrapText="1"/>
      <protection/>
    </xf>
    <xf numFmtId="10" fontId="18" fillId="0" borderId="0" xfId="557" applyNumberFormat="1" applyFont="1" applyAlignment="1">
      <alignment/>
    </xf>
    <xf numFmtId="0" fontId="0" fillId="0" borderId="56" xfId="0" applyBorder="1" applyAlignment="1">
      <alignment horizontal="left" vertical="top" wrapText="1"/>
    </xf>
    <xf numFmtId="0" fontId="0" fillId="0" borderId="64" xfId="0" applyBorder="1" applyAlignment="1">
      <alignment horizontal="left" wrapText="1"/>
    </xf>
    <xf numFmtId="0" fontId="20" fillId="57" borderId="19" xfId="498" applyFont="1" applyFill="1" applyBorder="1" applyAlignment="1">
      <alignment horizontal="center" wrapText="1"/>
      <protection/>
    </xf>
    <xf numFmtId="0" fontId="20" fillId="16" borderId="19" xfId="498" applyFont="1" applyFill="1" applyBorder="1" applyAlignment="1">
      <alignment horizontal="center" wrapText="1"/>
      <protection/>
    </xf>
    <xf numFmtId="0" fontId="20" fillId="21" borderId="0" xfId="498" applyFont="1" applyFill="1" applyBorder="1" applyAlignment="1">
      <alignment horizontal="center" wrapText="1"/>
      <protection/>
    </xf>
    <xf numFmtId="0" fontId="67" fillId="59" borderId="70" xfId="421" applyFont="1" applyFill="1" applyBorder="1" applyAlignment="1">
      <alignment horizontal="center"/>
      <protection/>
    </xf>
    <xf numFmtId="0" fontId="67" fillId="59" borderId="71" xfId="421" applyFont="1" applyFill="1" applyBorder="1" applyAlignment="1">
      <alignment horizontal="center"/>
      <protection/>
    </xf>
    <xf numFmtId="0" fontId="73" fillId="0" borderId="51" xfId="421" applyFont="1" applyBorder="1" applyAlignment="1">
      <alignment horizontal="center" wrapText="1"/>
      <protection/>
    </xf>
    <xf numFmtId="0" fontId="74" fillId="0" borderId="40" xfId="421" applyFont="1" applyBorder="1" applyAlignment="1">
      <alignment horizontal="center" vertical="center"/>
      <protection/>
    </xf>
    <xf numFmtId="0" fontId="74" fillId="0" borderId="41" xfId="421" applyFont="1" applyBorder="1" applyAlignment="1">
      <alignment horizontal="center" vertical="center"/>
      <protection/>
    </xf>
    <xf numFmtId="0" fontId="74" fillId="0" borderId="49" xfId="421" applyFont="1" applyBorder="1" applyAlignment="1">
      <alignment horizontal="center" vertical="center"/>
      <protection/>
    </xf>
    <xf numFmtId="0" fontId="74" fillId="0" borderId="72" xfId="421" applyFont="1" applyBorder="1" applyAlignment="1">
      <alignment horizontal="center" vertical="center"/>
      <protection/>
    </xf>
    <xf numFmtId="0" fontId="74" fillId="0" borderId="73" xfId="421" applyFont="1" applyBorder="1" applyAlignment="1">
      <alignment horizontal="center" vertical="center"/>
      <protection/>
    </xf>
    <xf numFmtId="0" fontId="74" fillId="0" borderId="74" xfId="421" applyFont="1" applyBorder="1" applyAlignment="1">
      <alignment horizontal="center" vertical="center"/>
      <protection/>
    </xf>
    <xf numFmtId="0" fontId="75" fillId="60" borderId="40" xfId="421" applyFont="1" applyFill="1" applyBorder="1" applyAlignment="1">
      <alignment horizontal="center"/>
      <protection/>
    </xf>
    <xf numFmtId="0" fontId="75" fillId="60" borderId="41" xfId="421" applyFont="1" applyFill="1" applyBorder="1" applyAlignment="1">
      <alignment horizontal="center"/>
      <protection/>
    </xf>
    <xf numFmtId="0" fontId="75" fillId="60" borderId="42" xfId="421" applyFont="1" applyFill="1" applyBorder="1" applyAlignment="1">
      <alignment horizontal="center"/>
      <protection/>
    </xf>
    <xf numFmtId="0" fontId="75" fillId="57" borderId="37" xfId="421" applyFont="1" applyFill="1" applyBorder="1" applyAlignment="1">
      <alignment horizontal="center"/>
      <protection/>
    </xf>
    <xf numFmtId="0" fontId="75" fillId="57" borderId="44" xfId="421" applyFont="1" applyFill="1" applyBorder="1" applyAlignment="1">
      <alignment horizontal="center"/>
      <protection/>
    </xf>
    <xf numFmtId="0" fontId="75" fillId="57" borderId="75" xfId="421" applyFont="1" applyFill="1" applyBorder="1" applyAlignment="1">
      <alignment horizontal="center"/>
      <protection/>
    </xf>
    <xf numFmtId="0" fontId="67" fillId="60" borderId="38" xfId="421" applyFont="1" applyFill="1" applyBorder="1" applyAlignment="1">
      <alignment horizontal="center"/>
      <protection/>
    </xf>
    <xf numFmtId="0" fontId="67" fillId="60" borderId="22" xfId="421" applyFont="1" applyFill="1" applyBorder="1" applyAlignment="1">
      <alignment horizontal="center"/>
      <protection/>
    </xf>
    <xf numFmtId="0" fontId="67" fillId="60" borderId="50" xfId="421" applyFont="1" applyFill="1" applyBorder="1" applyAlignment="1">
      <alignment horizontal="center"/>
      <protection/>
    </xf>
    <xf numFmtId="0" fontId="67" fillId="57" borderId="70" xfId="421" applyFont="1" applyFill="1" applyBorder="1" applyAlignment="1">
      <alignment horizontal="center"/>
      <protection/>
    </xf>
    <xf numFmtId="0" fontId="67" fillId="57" borderId="51" xfId="421" applyFont="1" applyFill="1" applyBorder="1" applyAlignment="1">
      <alignment horizontal="center"/>
      <protection/>
    </xf>
    <xf numFmtId="0" fontId="67" fillId="57" borderId="71" xfId="421" applyFont="1" applyFill="1" applyBorder="1" applyAlignment="1">
      <alignment horizontal="center"/>
      <protection/>
    </xf>
    <xf numFmtId="0" fontId="18" fillId="0" borderId="0" xfId="0" applyFont="1" applyAlignment="1">
      <alignment wrapText="1"/>
    </xf>
    <xf numFmtId="180" fontId="0" fillId="0" borderId="0" xfId="0" applyNumberFormat="1" applyAlignment="1">
      <alignment/>
    </xf>
    <xf numFmtId="10" fontId="33" fillId="0" borderId="24" xfId="557" applyNumberFormat="1" applyFont="1" applyFill="1" applyBorder="1" applyAlignment="1" applyProtection="1">
      <alignment horizontal="right" wrapText="1"/>
      <protection/>
    </xf>
    <xf numFmtId="10" fontId="33" fillId="0" borderId="24" xfId="557" applyNumberFormat="1" applyFont="1" applyFill="1" applyBorder="1" applyAlignment="1" applyProtection="1">
      <alignment horizontal="right" wrapText="1"/>
      <protection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174" fontId="18" fillId="0" borderId="0" xfId="0" applyNumberFormat="1" applyFont="1" applyAlignment="1">
      <alignment/>
    </xf>
    <xf numFmtId="0" fontId="33" fillId="55" borderId="24" xfId="0" applyNumberFormat="1" applyFont="1" applyFill="1" applyBorder="1" applyAlignment="1" applyProtection="1">
      <alignment horizontal="left" wrapText="1"/>
      <protection/>
    </xf>
    <xf numFmtId="10" fontId="33" fillId="0" borderId="24" xfId="557" applyNumberFormat="1" applyFont="1" applyFill="1" applyBorder="1" applyAlignment="1" applyProtection="1">
      <alignment horizontal="right" wrapText="1"/>
      <protection/>
    </xf>
    <xf numFmtId="10" fontId="34" fillId="0" borderId="24" xfId="557" applyNumberFormat="1" applyFont="1" applyFill="1" applyBorder="1" applyAlignment="1" applyProtection="1">
      <alignment horizontal="right" wrapText="1"/>
      <protection/>
    </xf>
  </cellXfs>
  <cellStyles count="58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3 2 2" xfId="22"/>
    <cellStyle name="20% - Accent1 3 3" xfId="23"/>
    <cellStyle name="20% - Accent1 4" xfId="24"/>
    <cellStyle name="20% - Accent1 4 2" xfId="25"/>
    <cellStyle name="20% - Accent1 5" xfId="26"/>
    <cellStyle name="20% - Accent2" xfId="27"/>
    <cellStyle name="20% - Accent2 2" xfId="28"/>
    <cellStyle name="20% - Accent2 2 2" xfId="29"/>
    <cellStyle name="20% - Accent2 2 2 2" xfId="30"/>
    <cellStyle name="20% - Accent2 2 3" xfId="31"/>
    <cellStyle name="20% - Accent2 3" xfId="32"/>
    <cellStyle name="20% - Accent2 3 2" xfId="33"/>
    <cellStyle name="20% - Accent2 3 2 2" xfId="34"/>
    <cellStyle name="20% - Accent2 3 3" xfId="35"/>
    <cellStyle name="20% - Accent2 4" xfId="36"/>
    <cellStyle name="20% - Accent2 4 2" xfId="37"/>
    <cellStyle name="20% - Accent2 5" xfId="38"/>
    <cellStyle name="20% - Accent3" xfId="39"/>
    <cellStyle name="20% - Accent3 2" xfId="40"/>
    <cellStyle name="20% - Accent3 2 2" xfId="41"/>
    <cellStyle name="20% - Accent3 2 2 2" xfId="42"/>
    <cellStyle name="20% - Accent3 2 3" xfId="43"/>
    <cellStyle name="20% - Accent3 3" xfId="44"/>
    <cellStyle name="20% - Accent3 3 2" xfId="45"/>
    <cellStyle name="20% - Accent3 3 2 2" xfId="46"/>
    <cellStyle name="20% - Accent3 3 3" xfId="47"/>
    <cellStyle name="20% - Accent3 4" xfId="48"/>
    <cellStyle name="20% - Accent3 4 2" xfId="49"/>
    <cellStyle name="20% - Accent3 5" xfId="50"/>
    <cellStyle name="20% - Accent4" xfId="51"/>
    <cellStyle name="20% - Accent4 2" xfId="52"/>
    <cellStyle name="20% - Accent4 2 2" xfId="53"/>
    <cellStyle name="20% - Accent4 2 2 2" xfId="54"/>
    <cellStyle name="20% - Accent4 2 3" xfId="55"/>
    <cellStyle name="20% - Accent4 3" xfId="56"/>
    <cellStyle name="20% - Accent4 3 2" xfId="57"/>
    <cellStyle name="20% - Accent4 3 2 2" xfId="58"/>
    <cellStyle name="20% - Accent4 3 3" xfId="59"/>
    <cellStyle name="20% - Accent4 4" xfId="60"/>
    <cellStyle name="20% - Accent4 4 2" xfId="61"/>
    <cellStyle name="20% - Accent4 5" xfId="62"/>
    <cellStyle name="20% - Accent5" xfId="63"/>
    <cellStyle name="20% - Accent5 2" xfId="64"/>
    <cellStyle name="20% - Accent5 2 2" xfId="65"/>
    <cellStyle name="20% - Accent5 2 2 2" xfId="66"/>
    <cellStyle name="20% - Accent5 2 3" xfId="67"/>
    <cellStyle name="20% - Accent5 2 3 2" xfId="68"/>
    <cellStyle name="20% - Accent5 2 4" xfId="69"/>
    <cellStyle name="20% - Accent5 3" xfId="70"/>
    <cellStyle name="20% - Accent5 3 2" xfId="71"/>
    <cellStyle name="20% - Accent5 4" xfId="72"/>
    <cellStyle name="20% - Accent6" xfId="73"/>
    <cellStyle name="20% - Accent6 2" xfId="74"/>
    <cellStyle name="20% - Accent6 2 2" xfId="75"/>
    <cellStyle name="20% - Accent6 2 2 2" xfId="76"/>
    <cellStyle name="20% - Accent6 2 3" xfId="77"/>
    <cellStyle name="20% - Accent6 2 3 2" xfId="78"/>
    <cellStyle name="20% - Accent6 2 4" xfId="79"/>
    <cellStyle name="20% - Accent6 3" xfId="80"/>
    <cellStyle name="20% - Accent6 3 2" xfId="81"/>
    <cellStyle name="20% - Accent6 4" xfId="82"/>
    <cellStyle name="40% - Accent1" xfId="83"/>
    <cellStyle name="40% - Accent1 2" xfId="84"/>
    <cellStyle name="40% - Accent1 2 2" xfId="85"/>
    <cellStyle name="40% - Accent1 2 2 2" xfId="86"/>
    <cellStyle name="40% - Accent1 2 3" xfId="87"/>
    <cellStyle name="40% - Accent1 2 3 2" xfId="88"/>
    <cellStyle name="40% - Accent1 2 4" xfId="89"/>
    <cellStyle name="40% - Accent1 3" xfId="90"/>
    <cellStyle name="40% - Accent1 3 2" xfId="91"/>
    <cellStyle name="40% - Accent1 4" xfId="92"/>
    <cellStyle name="40% - Accent2" xfId="93"/>
    <cellStyle name="40% - Accent2 2" xfId="94"/>
    <cellStyle name="40% - Accent2 2 2" xfId="95"/>
    <cellStyle name="40% - Accent2 2 2 2" xfId="96"/>
    <cellStyle name="40% - Accent2 2 3" xfId="97"/>
    <cellStyle name="40% - Accent2 2 3 2" xfId="98"/>
    <cellStyle name="40% - Accent2 2 4" xfId="99"/>
    <cellStyle name="40% - Accent2 3" xfId="100"/>
    <cellStyle name="40% - Accent2 3 2" xfId="101"/>
    <cellStyle name="40% - Accent2 4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3" xfId="108"/>
    <cellStyle name="40% - Accent3 3 2" xfId="109"/>
    <cellStyle name="40% - Accent3 3 2 2" xfId="110"/>
    <cellStyle name="40% - Accent3 3 3" xfId="111"/>
    <cellStyle name="40% - Accent3 4" xfId="112"/>
    <cellStyle name="40% - Accent3 4 2" xfId="113"/>
    <cellStyle name="40% - Accent3 5" xfId="114"/>
    <cellStyle name="40% - Accent4" xfId="115"/>
    <cellStyle name="40% - Accent4 2" xfId="116"/>
    <cellStyle name="40% - Accent4 2 2" xfId="117"/>
    <cellStyle name="40% - Accent4 2 2 2" xfId="118"/>
    <cellStyle name="40% - Accent4 2 3" xfId="119"/>
    <cellStyle name="40% - Accent4 2 3 2" xfId="120"/>
    <cellStyle name="40% - Accent4 2 4" xfId="121"/>
    <cellStyle name="40% - Accent4 3" xfId="122"/>
    <cellStyle name="40% - Accent4 3 2" xfId="123"/>
    <cellStyle name="40% - Accent4 4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2 3 2" xfId="130"/>
    <cellStyle name="40% - Accent5 2 4" xfId="131"/>
    <cellStyle name="40% - Accent5 3" xfId="132"/>
    <cellStyle name="40% - Accent5 3 2" xfId="133"/>
    <cellStyle name="40% - Accent5 4" xfId="134"/>
    <cellStyle name="40% - Accent6" xfId="135"/>
    <cellStyle name="40% - Accent6 2" xfId="136"/>
    <cellStyle name="40% - Accent6 2 2" xfId="137"/>
    <cellStyle name="40% - Accent6 2 2 2" xfId="138"/>
    <cellStyle name="40% - Accent6 2 3" xfId="139"/>
    <cellStyle name="40% - Accent6 2 3 2" xfId="140"/>
    <cellStyle name="40% - Accent6 2 4" xfId="141"/>
    <cellStyle name="40% - Accent6 3" xfId="142"/>
    <cellStyle name="40% - Accent6 3 2" xfId="143"/>
    <cellStyle name="40% - Accent6 4" xfId="144"/>
    <cellStyle name="60% - Accent1" xfId="145"/>
    <cellStyle name="60% - Accent1 2" xfId="146"/>
    <cellStyle name="60% - Accent1 2 2" xfId="147"/>
    <cellStyle name="60% - Accent1 2 2 2" xfId="148"/>
    <cellStyle name="60% - Accent1 2 3" xfId="149"/>
    <cellStyle name="60% - Accent1 2 3 2" xfId="150"/>
    <cellStyle name="60% - Accent1 2 4" xfId="151"/>
    <cellStyle name="60% - Accent1 3" xfId="152"/>
    <cellStyle name="60% - Accent1 3 2" xfId="153"/>
    <cellStyle name="60% - Accent2" xfId="154"/>
    <cellStyle name="60% - Accent2 2" xfId="155"/>
    <cellStyle name="60% - Accent2 2 2" xfId="156"/>
    <cellStyle name="60% - Accent2 2 2 2" xfId="157"/>
    <cellStyle name="60% - Accent2 2 3" xfId="158"/>
    <cellStyle name="60% - Accent2 2 3 2" xfId="159"/>
    <cellStyle name="60% - Accent2 2 4" xfId="160"/>
    <cellStyle name="60% - Accent2 3" xfId="161"/>
    <cellStyle name="60% - Accent2 3 2" xfId="162"/>
    <cellStyle name="60% - Accent3" xfId="163"/>
    <cellStyle name="60% - Accent3 2" xfId="164"/>
    <cellStyle name="60% - Accent3 2 2" xfId="165"/>
    <cellStyle name="60% - Accent3 2 2 2" xfId="166"/>
    <cellStyle name="60% - Accent3 2 3" xfId="167"/>
    <cellStyle name="60% - Accent3 3" xfId="168"/>
    <cellStyle name="60% - Accent3 3 2" xfId="169"/>
    <cellStyle name="60% - Accent3 3 2 2" xfId="170"/>
    <cellStyle name="60% - Accent3 3 3" xfId="171"/>
    <cellStyle name="60% - Accent3 4" xfId="172"/>
    <cellStyle name="60% - Accent3 4 2" xfId="173"/>
    <cellStyle name="60% - Accent3 5" xfId="174"/>
    <cellStyle name="60% - Accent4" xfId="175"/>
    <cellStyle name="60% - Accent4 2" xfId="176"/>
    <cellStyle name="60% - Accent4 2 2" xfId="177"/>
    <cellStyle name="60% - Accent4 2 2 2" xfId="178"/>
    <cellStyle name="60% - Accent4 2 3" xfId="179"/>
    <cellStyle name="60% - Accent4 3" xfId="180"/>
    <cellStyle name="60% - Accent4 3 2" xfId="181"/>
    <cellStyle name="60% - Accent4 3 2 2" xfId="182"/>
    <cellStyle name="60% - Accent4 3 3" xfId="183"/>
    <cellStyle name="60% - Accent4 4" xfId="184"/>
    <cellStyle name="60% - Accent4 4 2" xfId="185"/>
    <cellStyle name="60% - Accent4 5" xfId="186"/>
    <cellStyle name="60% - Accent5" xfId="187"/>
    <cellStyle name="60% - Accent5 2" xfId="188"/>
    <cellStyle name="60% - Accent5 2 2" xfId="189"/>
    <cellStyle name="60% - Accent5 2 2 2" xfId="190"/>
    <cellStyle name="60% - Accent5 2 3" xfId="191"/>
    <cellStyle name="60% - Accent5 2 3 2" xfId="192"/>
    <cellStyle name="60% - Accent5 2 4" xfId="193"/>
    <cellStyle name="60% - Accent5 3" xfId="194"/>
    <cellStyle name="60% - Accent5 3 2" xfId="195"/>
    <cellStyle name="60% - Accent6" xfId="196"/>
    <cellStyle name="60% - Accent6 2" xfId="197"/>
    <cellStyle name="60% - Accent6 2 2" xfId="198"/>
    <cellStyle name="60% - Accent6 2 2 2" xfId="199"/>
    <cellStyle name="60% - Accent6 2 3" xfId="200"/>
    <cellStyle name="60% - Accent6 3" xfId="201"/>
    <cellStyle name="60% - Accent6 3 2" xfId="202"/>
    <cellStyle name="60% - Accent6 3 2 2" xfId="203"/>
    <cellStyle name="60% - Accent6 3 3" xfId="204"/>
    <cellStyle name="60% - Accent6 4" xfId="205"/>
    <cellStyle name="60% - Accent6 4 2" xfId="206"/>
    <cellStyle name="60% - Accent6 5" xfId="207"/>
    <cellStyle name="Accent1" xfId="208"/>
    <cellStyle name="Accent1 2" xfId="209"/>
    <cellStyle name="Accent1 2 2" xfId="210"/>
    <cellStyle name="Accent1 2 2 2" xfId="211"/>
    <cellStyle name="Accent1 2 3" xfId="212"/>
    <cellStyle name="Accent1 2 3 2" xfId="213"/>
    <cellStyle name="Accent1 2 4" xfId="214"/>
    <cellStyle name="Accent1 3" xfId="215"/>
    <cellStyle name="Accent1 3 2" xfId="216"/>
    <cellStyle name="Accent2" xfId="217"/>
    <cellStyle name="Accent2 2" xfId="218"/>
    <cellStyle name="Accent2 2 2" xfId="219"/>
    <cellStyle name="Accent2 2 2 2" xfId="220"/>
    <cellStyle name="Accent2 2 3" xfId="221"/>
    <cellStyle name="Accent2 2 3 2" xfId="222"/>
    <cellStyle name="Accent2 2 4" xfId="223"/>
    <cellStyle name="Accent2 3" xfId="224"/>
    <cellStyle name="Accent2 3 2" xfId="225"/>
    <cellStyle name="Accent3" xfId="226"/>
    <cellStyle name="Accent3 2" xfId="227"/>
    <cellStyle name="Accent3 2 2" xfId="228"/>
    <cellStyle name="Accent3 2 2 2" xfId="229"/>
    <cellStyle name="Accent3 2 3" xfId="230"/>
    <cellStyle name="Accent3 2 3 2" xfId="231"/>
    <cellStyle name="Accent3 2 4" xfId="232"/>
    <cellStyle name="Accent3 3" xfId="233"/>
    <cellStyle name="Accent3 3 2" xfId="234"/>
    <cellStyle name="Accent4" xfId="235"/>
    <cellStyle name="Accent4 2" xfId="236"/>
    <cellStyle name="Accent4 2 2" xfId="237"/>
    <cellStyle name="Accent4 2 2 2" xfId="238"/>
    <cellStyle name="Accent4 2 3" xfId="239"/>
    <cellStyle name="Accent4 2 3 2" xfId="240"/>
    <cellStyle name="Accent4 2 4" xfId="241"/>
    <cellStyle name="Accent4 3" xfId="242"/>
    <cellStyle name="Accent4 3 2" xfId="243"/>
    <cellStyle name="Accent5" xfId="244"/>
    <cellStyle name="Accent5 2" xfId="245"/>
    <cellStyle name="Accent5 2 2" xfId="246"/>
    <cellStyle name="Accent5 2 2 2" xfId="247"/>
    <cellStyle name="Accent5 2 3" xfId="248"/>
    <cellStyle name="Accent5 2 3 2" xfId="249"/>
    <cellStyle name="Accent5 2 4" xfId="250"/>
    <cellStyle name="Accent5 3" xfId="251"/>
    <cellStyle name="Accent5 3 2" xfId="252"/>
    <cellStyle name="Accent6" xfId="253"/>
    <cellStyle name="Accent6 2" xfId="254"/>
    <cellStyle name="Accent6 2 2" xfId="255"/>
    <cellStyle name="Accent6 2 2 2" xfId="256"/>
    <cellStyle name="Accent6 2 3" xfId="257"/>
    <cellStyle name="Accent6 2 3 2" xfId="258"/>
    <cellStyle name="Accent6 2 4" xfId="259"/>
    <cellStyle name="Accent6 3" xfId="260"/>
    <cellStyle name="Accent6 3 2" xfId="261"/>
    <cellStyle name="Bad" xfId="262"/>
    <cellStyle name="Bad 2" xfId="263"/>
    <cellStyle name="Bad 2 2" xfId="264"/>
    <cellStyle name="Bad 2 2 2" xfId="265"/>
    <cellStyle name="Bad 2 3" xfId="266"/>
    <cellStyle name="Bad 2 3 2" xfId="267"/>
    <cellStyle name="Bad 2 4" xfId="268"/>
    <cellStyle name="Bad 3" xfId="269"/>
    <cellStyle name="Bad 3 2" xfId="270"/>
    <cellStyle name="Calculation" xfId="271"/>
    <cellStyle name="Calculation 2" xfId="272"/>
    <cellStyle name="Calculation 2 2" xfId="273"/>
    <cellStyle name="Calculation 2 2 2" xfId="274"/>
    <cellStyle name="Calculation 2 3" xfId="275"/>
    <cellStyle name="Calculation 2 3 2" xfId="276"/>
    <cellStyle name="Calculation 2 3 2 2" xfId="277"/>
    <cellStyle name="Calculation 2 3 3" xfId="278"/>
    <cellStyle name="Calculation 2 3 3 2" xfId="279"/>
    <cellStyle name="Calculation 2 3 4" xfId="280"/>
    <cellStyle name="Calculation 2 4" xfId="281"/>
    <cellStyle name="Calculation 2 4 2" xfId="282"/>
    <cellStyle name="Calculation 2 5" xfId="283"/>
    <cellStyle name="Calculation 2 5 2" xfId="284"/>
    <cellStyle name="Calculation 2 6" xfId="285"/>
    <cellStyle name="Calculation 3" xfId="286"/>
    <cellStyle name="Calculation 3 2" xfId="287"/>
    <cellStyle name="Check Cell" xfId="288"/>
    <cellStyle name="Check Cell 2" xfId="289"/>
    <cellStyle name="Check Cell 2 2" xfId="290"/>
    <cellStyle name="Check Cell 2 2 2" xfId="291"/>
    <cellStyle name="Check Cell 2 3" xfId="292"/>
    <cellStyle name="Check Cell 2 3 2" xfId="293"/>
    <cellStyle name="Check Cell 2 4" xfId="294"/>
    <cellStyle name="Check Cell 3" xfId="295"/>
    <cellStyle name="Check Cell 3 2" xfId="296"/>
    <cellStyle name="Comma" xfId="297"/>
    <cellStyle name="Comma [0]" xfId="298"/>
    <cellStyle name="Comma 2" xfId="299"/>
    <cellStyle name="Comma 2 2" xfId="300"/>
    <cellStyle name="Comma 2 2 2" xfId="301"/>
    <cellStyle name="Comma 2 3" xfId="302"/>
    <cellStyle name="Comma 2 3 2" xfId="303"/>
    <cellStyle name="Comma 2 4" xfId="304"/>
    <cellStyle name="Comma 2 5" xfId="305"/>
    <cellStyle name="Comma 3" xfId="306"/>
    <cellStyle name="Comma 4" xfId="307"/>
    <cellStyle name="Comma 5" xfId="308"/>
    <cellStyle name="Comma 6" xfId="309"/>
    <cellStyle name="Comma 7" xfId="310"/>
    <cellStyle name="Currency" xfId="311"/>
    <cellStyle name="Currency [0]" xfId="312"/>
    <cellStyle name="Currency [0] 10" xfId="313"/>
    <cellStyle name="Currency [0] 11" xfId="314"/>
    <cellStyle name="Currency 10" xfId="315"/>
    <cellStyle name="Currency 11" xfId="316"/>
    <cellStyle name="Currency 2" xfId="317"/>
    <cellStyle name="Currency 2 2" xfId="318"/>
    <cellStyle name="Currency 2 3" xfId="319"/>
    <cellStyle name="Currency 2 4" xfId="320"/>
    <cellStyle name="Currency 3" xfId="321"/>
    <cellStyle name="Currency 4" xfId="322"/>
    <cellStyle name="Currency 5" xfId="323"/>
    <cellStyle name="Currency 6" xfId="324"/>
    <cellStyle name="Currency 7" xfId="325"/>
    <cellStyle name="Currency 8" xfId="326"/>
    <cellStyle name="Currency 9" xfId="327"/>
    <cellStyle name="Explanatory Text" xfId="328"/>
    <cellStyle name="Explanatory Text 2" xfId="329"/>
    <cellStyle name="Explanatory Text 2 2" xfId="330"/>
    <cellStyle name="Explanatory Text 2 2 2" xfId="331"/>
    <cellStyle name="Explanatory Text 2 3" xfId="332"/>
    <cellStyle name="Explanatory Text 2 3 2" xfId="333"/>
    <cellStyle name="Explanatory Text 2 4" xfId="334"/>
    <cellStyle name="Explanatory Text 3" xfId="335"/>
    <cellStyle name="Explanatory Text 3 2" xfId="336"/>
    <cellStyle name="Followed Hyperlink" xfId="337"/>
    <cellStyle name="Good" xfId="338"/>
    <cellStyle name="Good 2" xfId="339"/>
    <cellStyle name="Good 2 2" xfId="340"/>
    <cellStyle name="Good 2 2 2" xfId="341"/>
    <cellStyle name="Good 2 3" xfId="342"/>
    <cellStyle name="Good 2 3 2" xfId="343"/>
    <cellStyle name="Good 2 4" xfId="344"/>
    <cellStyle name="Good 3" xfId="345"/>
    <cellStyle name="Good 3 2" xfId="346"/>
    <cellStyle name="Heading 1" xfId="347"/>
    <cellStyle name="Heading 1 2" xfId="348"/>
    <cellStyle name="Heading 1 2 2" xfId="349"/>
    <cellStyle name="Heading 1 2 2 2" xfId="350"/>
    <cellStyle name="Heading 1 2 3" xfId="351"/>
    <cellStyle name="Heading 1 2 3 2" xfId="352"/>
    <cellStyle name="Heading 1 2 4" xfId="353"/>
    <cellStyle name="Heading 1 3" xfId="354"/>
    <cellStyle name="Heading 1 3 2" xfId="355"/>
    <cellStyle name="Heading 2" xfId="356"/>
    <cellStyle name="Heading 2 2" xfId="357"/>
    <cellStyle name="Heading 2 2 2" xfId="358"/>
    <cellStyle name="Heading 2 2 2 2" xfId="359"/>
    <cellStyle name="Heading 2 2 3" xfId="360"/>
    <cellStyle name="Heading 2 2 3 2" xfId="361"/>
    <cellStyle name="Heading 2 2 4" xfId="362"/>
    <cellStyle name="Heading 2 3" xfId="363"/>
    <cellStyle name="Heading 2 3 2" xfId="364"/>
    <cellStyle name="Heading 3" xfId="365"/>
    <cellStyle name="Heading 3 2" xfId="366"/>
    <cellStyle name="Heading 3 2 2" xfId="367"/>
    <cellStyle name="Heading 3 2 2 2" xfId="368"/>
    <cellStyle name="Heading 3 2 3" xfId="369"/>
    <cellStyle name="Heading 3 2 3 2" xfId="370"/>
    <cellStyle name="Heading 3 2 4" xfId="371"/>
    <cellStyle name="Heading 3 3" xfId="372"/>
    <cellStyle name="Heading 3 3 2" xfId="373"/>
    <cellStyle name="Heading 4" xfId="374"/>
    <cellStyle name="Heading 4 2" xfId="375"/>
    <cellStyle name="Heading 4 2 2" xfId="376"/>
    <cellStyle name="Heading 4 2 2 2" xfId="377"/>
    <cellStyle name="Heading 4 2 3" xfId="378"/>
    <cellStyle name="Heading 4 2 3 2" xfId="379"/>
    <cellStyle name="Heading 4 2 4" xfId="380"/>
    <cellStyle name="Heading 4 3" xfId="381"/>
    <cellStyle name="Heading 4 3 2" xfId="382"/>
    <cellStyle name="Hyperlink" xfId="383"/>
    <cellStyle name="Hyperlink 2" xfId="384"/>
    <cellStyle name="Input" xfId="385"/>
    <cellStyle name="Input 2" xfId="386"/>
    <cellStyle name="Input 2 2" xfId="387"/>
    <cellStyle name="Input 2 2 2" xfId="388"/>
    <cellStyle name="Input 2 3" xfId="389"/>
    <cellStyle name="Input 2 3 2" xfId="390"/>
    <cellStyle name="Input 2 3 2 2" xfId="391"/>
    <cellStyle name="Input 2 3 3" xfId="392"/>
    <cellStyle name="Input 2 3 3 2" xfId="393"/>
    <cellStyle name="Input 2 3 4" xfId="394"/>
    <cellStyle name="Input 2 4" xfId="395"/>
    <cellStyle name="Input 2 4 2" xfId="396"/>
    <cellStyle name="Input 2 5" xfId="397"/>
    <cellStyle name="Input 2 5 2" xfId="398"/>
    <cellStyle name="Input 2 6" xfId="399"/>
    <cellStyle name="Input 3" xfId="400"/>
    <cellStyle name="Input 3 2" xfId="401"/>
    <cellStyle name="Linked Cell" xfId="402"/>
    <cellStyle name="Linked Cell 2" xfId="403"/>
    <cellStyle name="Linked Cell 2 2" xfId="404"/>
    <cellStyle name="Linked Cell 2 2 2" xfId="405"/>
    <cellStyle name="Linked Cell 2 3" xfId="406"/>
    <cellStyle name="Linked Cell 2 3 2" xfId="407"/>
    <cellStyle name="Linked Cell 2 4" xfId="408"/>
    <cellStyle name="Linked Cell 3" xfId="409"/>
    <cellStyle name="Linked Cell 3 2" xfId="410"/>
    <cellStyle name="Neutral" xfId="411"/>
    <cellStyle name="Neutral 2" xfId="412"/>
    <cellStyle name="Neutral 2 2" xfId="413"/>
    <cellStyle name="Neutral 2 2 2" xfId="414"/>
    <cellStyle name="Neutral 2 3" xfId="415"/>
    <cellStyle name="Neutral 2 3 2" xfId="416"/>
    <cellStyle name="Neutral 2 4" xfId="417"/>
    <cellStyle name="Neutral 3" xfId="418"/>
    <cellStyle name="Neutral 3 2" xfId="419"/>
    <cellStyle name="Normal 10" xfId="420"/>
    <cellStyle name="Normal 10 2" xfId="421"/>
    <cellStyle name="Normal 11" xfId="422"/>
    <cellStyle name="Normal 11 2" xfId="423"/>
    <cellStyle name="Normal 12" xfId="424"/>
    <cellStyle name="Normal 13" xfId="425"/>
    <cellStyle name="Normal 13 2" xfId="426"/>
    <cellStyle name="Normal 14" xfId="427"/>
    <cellStyle name="Normal 14 2" xfId="428"/>
    <cellStyle name="Normal 14 2 2" xfId="429"/>
    <cellStyle name="Normal 14 3" xfId="430"/>
    <cellStyle name="Normal 15" xfId="431"/>
    <cellStyle name="Normal 16" xfId="432"/>
    <cellStyle name="Normal 17" xfId="433"/>
    <cellStyle name="Normal 18" xfId="434"/>
    <cellStyle name="Normal 19" xfId="435"/>
    <cellStyle name="Normal 2" xfId="436"/>
    <cellStyle name="Normal 2 10" xfId="437"/>
    <cellStyle name="Normal 2 2" xfId="438"/>
    <cellStyle name="Normal 2 2 2" xfId="439"/>
    <cellStyle name="Normal 2 2 3" xfId="440"/>
    <cellStyle name="Normal 2 3" xfId="441"/>
    <cellStyle name="Normal 2 3 2" xfId="442"/>
    <cellStyle name="Normal 2 4" xfId="443"/>
    <cellStyle name="Normal 2 5" xfId="444"/>
    <cellStyle name="Normal 2 6" xfId="445"/>
    <cellStyle name="Normal 2 7" xfId="446"/>
    <cellStyle name="Normal 2 8" xfId="447"/>
    <cellStyle name="Normal 2 9" xfId="448"/>
    <cellStyle name="Normal 20" xfId="449"/>
    <cellStyle name="Normal 21" xfId="450"/>
    <cellStyle name="Normal 22" xfId="451"/>
    <cellStyle name="Normal 23" xfId="452"/>
    <cellStyle name="Normal 24" xfId="453"/>
    <cellStyle name="Normal 25" xfId="454"/>
    <cellStyle name="Normal 26" xfId="455"/>
    <cellStyle name="Normal 27" xfId="456"/>
    <cellStyle name="Normal 28" xfId="457"/>
    <cellStyle name="Normal 29" xfId="458"/>
    <cellStyle name="Normal 3" xfId="459"/>
    <cellStyle name="Normal 3 2" xfId="460"/>
    <cellStyle name="Normal 3 2 2" xfId="461"/>
    <cellStyle name="Normal 3 3" xfId="462"/>
    <cellStyle name="Normal 3 4" xfId="463"/>
    <cellStyle name="Normal 3 5" xfId="464"/>
    <cellStyle name="Normal 30" xfId="465"/>
    <cellStyle name="Normal 31" xfId="466"/>
    <cellStyle name="Normal 32" xfId="467"/>
    <cellStyle name="Normal 33" xfId="468"/>
    <cellStyle name="Normal 34" xfId="469"/>
    <cellStyle name="Normal 35" xfId="470"/>
    <cellStyle name="Normal 36" xfId="471"/>
    <cellStyle name="Normal 37" xfId="472"/>
    <cellStyle name="Normal 38" xfId="473"/>
    <cellStyle name="Normal 39" xfId="474"/>
    <cellStyle name="Normal 4" xfId="475"/>
    <cellStyle name="Normal 4 2" xfId="476"/>
    <cellStyle name="Normal 4 2 2" xfId="477"/>
    <cellStyle name="Normal 4 3" xfId="478"/>
    <cellStyle name="Normal 4 4" xfId="479"/>
    <cellStyle name="Normal 4 5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2 2" xfId="493"/>
    <cellStyle name="Normal 5 3" xfId="494"/>
    <cellStyle name="Normal 5 4" xfId="495"/>
    <cellStyle name="Normal 5 5" xfId="496"/>
    <cellStyle name="Normal 5 6" xfId="497"/>
    <cellStyle name="Normal 50" xfId="498"/>
    <cellStyle name="Normal 51" xfId="499"/>
    <cellStyle name="Normal 52" xfId="500"/>
    <cellStyle name="Normal 52 2" xfId="501"/>
    <cellStyle name="Normal 53" xfId="502"/>
    <cellStyle name="Normal 6" xfId="503"/>
    <cellStyle name="Normal 6 2" xfId="504"/>
    <cellStyle name="Normal 6 2 2" xfId="505"/>
    <cellStyle name="Normal 6 3" xfId="506"/>
    <cellStyle name="Normal 6 4" xfId="507"/>
    <cellStyle name="Normal 6 5" xfId="508"/>
    <cellStyle name="Normal 7" xfId="509"/>
    <cellStyle name="Normal 7 2" xfId="510"/>
    <cellStyle name="Normal 7 2 2" xfId="511"/>
    <cellStyle name="Normal 7 3" xfId="512"/>
    <cellStyle name="Normal 7 4" xfId="513"/>
    <cellStyle name="Normal 8" xfId="514"/>
    <cellStyle name="Normal 8 2" xfId="515"/>
    <cellStyle name="Normal 8 2 2" xfId="516"/>
    <cellStyle name="Normal 8 3" xfId="517"/>
    <cellStyle name="Normal 9" xfId="518"/>
    <cellStyle name="Note" xfId="519"/>
    <cellStyle name="Note 2" xfId="520"/>
    <cellStyle name="Note 2 2" xfId="521"/>
    <cellStyle name="Note 2 2 2" xfId="522"/>
    <cellStyle name="Note 2 3" xfId="523"/>
    <cellStyle name="Note 2 3 2" xfId="524"/>
    <cellStyle name="Note 2 4" xfId="525"/>
    <cellStyle name="Note 2 5" xfId="526"/>
    <cellStyle name="Note 3" xfId="527"/>
    <cellStyle name="Note 3 2" xfId="528"/>
    <cellStyle name="Note 3 2 2" xfId="529"/>
    <cellStyle name="Note 3 2 2 2" xfId="530"/>
    <cellStyle name="Note 3 2 3" xfId="531"/>
    <cellStyle name="Note 3 2 3 2" xfId="532"/>
    <cellStyle name="Note 3 2 4" xfId="533"/>
    <cellStyle name="Note 3 3" xfId="534"/>
    <cellStyle name="Note 3 3 2" xfId="535"/>
    <cellStyle name="Note 3 4" xfId="536"/>
    <cellStyle name="Note 3 4 2" xfId="537"/>
    <cellStyle name="Note 3 5" xfId="538"/>
    <cellStyle name="Note 4" xfId="539"/>
    <cellStyle name="Note 4 2" xfId="540"/>
    <cellStyle name="Note 5" xfId="541"/>
    <cellStyle name="Output" xfId="542"/>
    <cellStyle name="Output 2" xfId="543"/>
    <cellStyle name="Output 2 2" xfId="544"/>
    <cellStyle name="Output 2 2 2" xfId="545"/>
    <cellStyle name="Output 2 3" xfId="546"/>
    <cellStyle name="Output 2 3 2" xfId="547"/>
    <cellStyle name="Output 2 3 3" xfId="548"/>
    <cellStyle name="Output 2 3 4" xfId="549"/>
    <cellStyle name="Output 2 4" xfId="550"/>
    <cellStyle name="Output 2 4 2" xfId="551"/>
    <cellStyle name="Output 2 5" xfId="552"/>
    <cellStyle name="Output 2 6" xfId="553"/>
    <cellStyle name="Output 2 7" xfId="554"/>
    <cellStyle name="Output 3" xfId="555"/>
    <cellStyle name="Output 3 2" xfId="556"/>
    <cellStyle name="Percent" xfId="557"/>
    <cellStyle name="Percent 2" xfId="558"/>
    <cellStyle name="Percent 2 2" xfId="559"/>
    <cellStyle name="Percent 3" xfId="560"/>
    <cellStyle name="Percent 3 2" xfId="561"/>
    <cellStyle name="Percent 3 3" xfId="562"/>
    <cellStyle name="Percent 3 4" xfId="563"/>
    <cellStyle name="Percent 4" xfId="564"/>
    <cellStyle name="Percent 5" xfId="565"/>
    <cellStyle name="Percent 6" xfId="566"/>
    <cellStyle name="Percent 7" xfId="567"/>
    <cellStyle name="Pivot Style Medium 13" xfId="568"/>
    <cellStyle name="Title" xfId="569"/>
    <cellStyle name="Title 2" xfId="570"/>
    <cellStyle name="Title 2 2" xfId="571"/>
    <cellStyle name="Title 2 2 2" xfId="572"/>
    <cellStyle name="Title 2 3" xfId="573"/>
    <cellStyle name="Title 2 4" xfId="574"/>
    <cellStyle name="Title 3" xfId="575"/>
    <cellStyle name="Title 3 2" xfId="576"/>
    <cellStyle name="Total" xfId="577"/>
    <cellStyle name="Total 2" xfId="578"/>
    <cellStyle name="Total 2 2" xfId="579"/>
    <cellStyle name="Total 2 2 2" xfId="580"/>
    <cellStyle name="Total 2 3" xfId="581"/>
    <cellStyle name="Total 2 3 2" xfId="582"/>
    <cellStyle name="Total 2 3 3" xfId="583"/>
    <cellStyle name="Total 2 3 4" xfId="584"/>
    <cellStyle name="Total 2 4" xfId="585"/>
    <cellStyle name="Total 2 4 2" xfId="586"/>
    <cellStyle name="Total 2 5" xfId="587"/>
    <cellStyle name="Total 2 6" xfId="588"/>
    <cellStyle name="Total 2 7" xfId="589"/>
    <cellStyle name="Total 3" xfId="590"/>
    <cellStyle name="Total 3 2" xfId="591"/>
    <cellStyle name="Warning Text" xfId="592"/>
    <cellStyle name="Warning Text 2" xfId="593"/>
    <cellStyle name="Warning Text 2 2" xfId="594"/>
    <cellStyle name="Warning Text 2 2 2" xfId="595"/>
    <cellStyle name="Warning Text 2 3" xfId="596"/>
    <cellStyle name="Warning Text 2 3 2" xfId="597"/>
    <cellStyle name="Warning Text 2 4" xfId="598"/>
    <cellStyle name="Warning Text 3" xfId="599"/>
    <cellStyle name="Warning Text 3 2" xfId="6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Waiver%20Modeling\Waiver%20Financial%20Modeling\CY%202014%20Per%20Capita%20model%20draft_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ASEREVENUE"/>
      <sheetName val="3.Jan 14 Update"/>
      <sheetName val="4.AHospitalCY13 Revenue"/>
      <sheetName val="BASEREVENUE_Montly"/>
      <sheetName val="4.B Hospital FY12FY13"/>
      <sheetName val="SourceOutMigration"/>
      <sheetName val="SourceDataPop"/>
      <sheetName val="SourcePerm &amp; Approved Revenue"/>
      <sheetName val="OLD FY2014 Model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35.28125" style="0" customWidth="1"/>
    <col min="3" max="3" width="22.57421875" style="0" hidden="1" customWidth="1"/>
    <col min="4" max="4" width="11.140625" style="0" customWidth="1"/>
    <col min="5" max="5" width="11.421875" style="0" customWidth="1"/>
    <col min="6" max="6" width="10.8515625" style="0" hidden="1" customWidth="1"/>
    <col min="7" max="7" width="10.57421875" style="0" customWidth="1"/>
    <col min="8" max="8" width="10.57421875" style="0" hidden="1" customWidth="1"/>
    <col min="9" max="9" width="12.421875" style="0" customWidth="1"/>
    <col min="10" max="10" width="15.7109375" style="140" customWidth="1"/>
    <col min="11" max="11" width="12.421875" style="0" hidden="1" customWidth="1"/>
    <col min="12" max="12" width="12.421875" style="0" customWidth="1"/>
    <col min="13" max="13" width="10.421875" style="0" hidden="1" customWidth="1"/>
    <col min="14" max="14" width="15.7109375" style="1" customWidth="1"/>
    <col min="15" max="15" width="14.140625" style="0" hidden="1" customWidth="1"/>
  </cols>
  <sheetData>
    <row r="1" ht="29.25" customHeight="1">
      <c r="A1" s="1" t="s">
        <v>39</v>
      </c>
    </row>
    <row r="2" spans="1:15" ht="57" customHeight="1">
      <c r="A2" s="143" t="s">
        <v>110</v>
      </c>
      <c r="B2" s="143" t="s">
        <v>111</v>
      </c>
      <c r="C2" s="143" t="s">
        <v>41</v>
      </c>
      <c r="D2" s="143" t="s">
        <v>171</v>
      </c>
      <c r="E2" s="143" t="s">
        <v>168</v>
      </c>
      <c r="F2" s="143" t="s">
        <v>164</v>
      </c>
      <c r="G2" s="143" t="s">
        <v>172</v>
      </c>
      <c r="H2" s="143" t="s">
        <v>101</v>
      </c>
      <c r="I2" s="143" t="s">
        <v>173</v>
      </c>
      <c r="J2" s="143" t="s">
        <v>174</v>
      </c>
      <c r="K2" s="143" t="s">
        <v>104</v>
      </c>
      <c r="L2" s="143" t="s">
        <v>175</v>
      </c>
      <c r="M2" s="143" t="s">
        <v>162</v>
      </c>
      <c r="N2" s="145" t="s">
        <v>176</v>
      </c>
      <c r="O2" s="143" t="s">
        <v>106</v>
      </c>
    </row>
    <row r="3" spans="1:15" ht="13.5" customHeight="1">
      <c r="A3" s="24">
        <v>210001</v>
      </c>
      <c r="B3" s="25" t="s">
        <v>121</v>
      </c>
      <c r="C3" s="29">
        <v>23048.530187</v>
      </c>
      <c r="D3" s="26">
        <v>21621.63</v>
      </c>
      <c r="E3" s="28">
        <v>115888.64</v>
      </c>
      <c r="F3" s="28">
        <v>116515.68</v>
      </c>
      <c r="G3" s="30">
        <v>0.005411</v>
      </c>
      <c r="H3" s="28">
        <v>627.07343104</v>
      </c>
      <c r="I3" s="30">
        <v>0.009913</v>
      </c>
      <c r="J3" s="154" t="e">
        <f>#REF!</f>
        <v>#REF!</v>
      </c>
      <c r="K3" s="28" t="e">
        <f aca="true" t="shared" si="0" ref="K3:K34">E3*J3</f>
        <v>#REF!</v>
      </c>
      <c r="L3" s="30" t="e">
        <f aca="true" t="shared" si="1" ref="L3:L36">I3*(1-J3)</f>
        <v>#REF!</v>
      </c>
      <c r="M3" s="27" t="e">
        <f aca="true" t="shared" si="2" ref="M3:M34">E3*L3</f>
        <v>#REF!</v>
      </c>
      <c r="N3" s="146" t="e">
        <f>L3*$L$56</f>
        <v>#REF!</v>
      </c>
      <c r="O3" s="28" t="e">
        <f aca="true" t="shared" si="3" ref="O3:O34">E3*N3</f>
        <v>#REF!</v>
      </c>
    </row>
    <row r="4" spans="1:15" ht="13.5" customHeight="1">
      <c r="A4" s="24">
        <v>210002</v>
      </c>
      <c r="B4" s="25" t="s">
        <v>123</v>
      </c>
      <c r="C4" s="29">
        <v>74011.273982</v>
      </c>
      <c r="D4" s="26">
        <v>72112.9</v>
      </c>
      <c r="E4" s="28">
        <v>390328.77</v>
      </c>
      <c r="F4" s="28">
        <v>392198.95</v>
      </c>
      <c r="G4" s="30">
        <v>0.004791</v>
      </c>
      <c r="H4" s="28">
        <v>1870.0651370700002</v>
      </c>
      <c r="I4" s="30">
        <v>0.008485</v>
      </c>
      <c r="J4" s="154" t="e">
        <f>#REF!</f>
        <v>#REF!</v>
      </c>
      <c r="K4" s="28" t="e">
        <f t="shared" si="0"/>
        <v>#REF!</v>
      </c>
      <c r="L4" s="30" t="e">
        <f t="shared" si="1"/>
        <v>#REF!</v>
      </c>
      <c r="M4" s="27" t="e">
        <f t="shared" si="2"/>
        <v>#REF!</v>
      </c>
      <c r="N4" s="146" t="e">
        <f aca="true" t="shared" si="4" ref="N4:N51">L4*$L$56</f>
        <v>#REF!</v>
      </c>
      <c r="O4" s="28" t="e">
        <f t="shared" si="3"/>
        <v>#REF!</v>
      </c>
    </row>
    <row r="5" spans="1:15" ht="13.5" customHeight="1">
      <c r="A5" s="24">
        <v>210003</v>
      </c>
      <c r="B5" s="25" t="s">
        <v>124</v>
      </c>
      <c r="C5" s="29">
        <v>15615.559321</v>
      </c>
      <c r="D5" s="26">
        <v>14925.02</v>
      </c>
      <c r="E5" s="28">
        <v>139166.68</v>
      </c>
      <c r="F5" s="28">
        <v>139721.61</v>
      </c>
      <c r="G5" s="30">
        <v>0.003988</v>
      </c>
      <c r="H5" s="28">
        <v>554.99671984</v>
      </c>
      <c r="I5" s="30">
        <v>0.009909</v>
      </c>
      <c r="J5" s="154" t="e">
        <f>#REF!</f>
        <v>#REF!</v>
      </c>
      <c r="K5" s="28" t="e">
        <f t="shared" si="0"/>
        <v>#REF!</v>
      </c>
      <c r="L5" s="30" t="e">
        <f t="shared" si="1"/>
        <v>#REF!</v>
      </c>
      <c r="M5" s="27" t="e">
        <f t="shared" si="2"/>
        <v>#REF!</v>
      </c>
      <c r="N5" s="146" t="e">
        <f t="shared" si="4"/>
        <v>#REF!</v>
      </c>
      <c r="O5" s="28" t="e">
        <f t="shared" si="3"/>
        <v>#REF!</v>
      </c>
    </row>
    <row r="6" spans="1:15" ht="13.5" customHeight="1">
      <c r="A6" s="24">
        <v>210004</v>
      </c>
      <c r="B6" s="25" t="s">
        <v>125</v>
      </c>
      <c r="C6" s="29">
        <v>39360.920561</v>
      </c>
      <c r="D6" s="26">
        <v>36952.64</v>
      </c>
      <c r="E6" s="28">
        <v>352523.13</v>
      </c>
      <c r="F6" s="28">
        <v>355201.34</v>
      </c>
      <c r="G6" s="30">
        <v>0.007597</v>
      </c>
      <c r="H6" s="28">
        <v>2678.11821861</v>
      </c>
      <c r="I6" s="30">
        <v>0.014369</v>
      </c>
      <c r="J6" s="154" t="e">
        <f>#REF!</f>
        <v>#REF!</v>
      </c>
      <c r="K6" s="28" t="e">
        <f t="shared" si="0"/>
        <v>#REF!</v>
      </c>
      <c r="L6" s="30" t="e">
        <f>I6*(1-J6)</f>
        <v>#REF!</v>
      </c>
      <c r="M6" s="27" t="e">
        <f t="shared" si="2"/>
        <v>#REF!</v>
      </c>
      <c r="N6" s="146" t="e">
        <f t="shared" si="4"/>
        <v>#REF!</v>
      </c>
      <c r="O6" s="28" t="e">
        <f t="shared" si="3"/>
        <v>#REF!</v>
      </c>
    </row>
    <row r="7" spans="1:15" ht="13.5" customHeight="1">
      <c r="A7" s="24">
        <v>210005</v>
      </c>
      <c r="B7" s="25" t="s">
        <v>126</v>
      </c>
      <c r="C7" s="29">
        <v>30741.181185</v>
      </c>
      <c r="D7" s="26">
        <v>28939.02</v>
      </c>
      <c r="E7" s="28">
        <v>179618.5</v>
      </c>
      <c r="F7" s="28">
        <v>181306.12</v>
      </c>
      <c r="G7" s="30">
        <v>0.009396</v>
      </c>
      <c r="H7" s="28">
        <v>1687.695426</v>
      </c>
      <c r="I7" s="30">
        <v>0.01629</v>
      </c>
      <c r="J7" s="154" t="e">
        <f>#REF!</f>
        <v>#REF!</v>
      </c>
      <c r="K7" s="28" t="e">
        <f t="shared" si="0"/>
        <v>#REF!</v>
      </c>
      <c r="L7" s="30" t="e">
        <f t="shared" si="1"/>
        <v>#REF!</v>
      </c>
      <c r="M7" s="27" t="e">
        <f t="shared" si="2"/>
        <v>#REF!</v>
      </c>
      <c r="N7" s="146" t="e">
        <f t="shared" si="4"/>
        <v>#REF!</v>
      </c>
      <c r="O7" s="28" t="e">
        <f t="shared" si="3"/>
        <v>#REF!</v>
      </c>
    </row>
    <row r="8" spans="1:15" ht="13.5" customHeight="1">
      <c r="A8" s="24">
        <v>210006</v>
      </c>
      <c r="B8" s="25" t="s">
        <v>127</v>
      </c>
      <c r="C8" s="29">
        <v>9183.7301918</v>
      </c>
      <c r="D8" s="26">
        <v>8204.9</v>
      </c>
      <c r="E8" s="28">
        <v>30862.75</v>
      </c>
      <c r="F8" s="28">
        <v>31058.2</v>
      </c>
      <c r="G8" s="30">
        <v>0.006333</v>
      </c>
      <c r="H8" s="28">
        <v>195.45379575</v>
      </c>
      <c r="I8" s="30">
        <v>0.012927</v>
      </c>
      <c r="J8" s="154" t="e">
        <f>#REF!</f>
        <v>#REF!</v>
      </c>
      <c r="K8" s="28" t="e">
        <f t="shared" si="0"/>
        <v>#REF!</v>
      </c>
      <c r="L8" s="30" t="e">
        <f t="shared" si="1"/>
        <v>#REF!</v>
      </c>
      <c r="M8" s="27" t="e">
        <f t="shared" si="2"/>
        <v>#REF!</v>
      </c>
      <c r="N8" s="146" t="e">
        <f t="shared" si="4"/>
        <v>#REF!</v>
      </c>
      <c r="O8" s="28" t="e">
        <f t="shared" si="3"/>
        <v>#REF!</v>
      </c>
    </row>
    <row r="9" spans="1:15" ht="13.5" customHeight="1">
      <c r="A9" s="24">
        <v>210008</v>
      </c>
      <c r="B9" s="25" t="s">
        <v>128</v>
      </c>
      <c r="C9" s="29">
        <v>36622.854278</v>
      </c>
      <c r="D9" s="26">
        <v>35791.08</v>
      </c>
      <c r="E9" s="28">
        <v>145455.15</v>
      </c>
      <c r="F9" s="28">
        <v>146163.3</v>
      </c>
      <c r="G9" s="30">
        <v>0.004869</v>
      </c>
      <c r="H9" s="28">
        <v>708.22112535</v>
      </c>
      <c r="I9" s="30">
        <v>0.010083</v>
      </c>
      <c r="J9" s="154" t="e">
        <f>#REF!</f>
        <v>#REF!</v>
      </c>
      <c r="K9" s="28" t="e">
        <f t="shared" si="0"/>
        <v>#REF!</v>
      </c>
      <c r="L9" s="30" t="e">
        <f t="shared" si="1"/>
        <v>#REF!</v>
      </c>
      <c r="M9" s="27" t="e">
        <f t="shared" si="2"/>
        <v>#REF!</v>
      </c>
      <c r="N9" s="146" t="e">
        <f t="shared" si="4"/>
        <v>#REF!</v>
      </c>
      <c r="O9" s="28" t="e">
        <f t="shared" si="3"/>
        <v>#REF!</v>
      </c>
    </row>
    <row r="10" spans="1:15" ht="13.5" customHeight="1">
      <c r="A10" s="24">
        <v>210009</v>
      </c>
      <c r="B10" s="25" t="s">
        <v>129</v>
      </c>
      <c r="C10" s="29">
        <v>84054.189225</v>
      </c>
      <c r="D10" s="26">
        <v>82105.98</v>
      </c>
      <c r="E10" s="28">
        <v>574213.49</v>
      </c>
      <c r="F10" s="28">
        <v>576566.29</v>
      </c>
      <c r="G10" s="30">
        <v>0.004097</v>
      </c>
      <c r="H10" s="28">
        <v>2352.55266853</v>
      </c>
      <c r="I10" s="30">
        <v>0.007316</v>
      </c>
      <c r="J10" s="154" t="e">
        <f>#REF!</f>
        <v>#REF!</v>
      </c>
      <c r="K10" s="28" t="e">
        <f t="shared" si="0"/>
        <v>#REF!</v>
      </c>
      <c r="L10" s="30" t="e">
        <f t="shared" si="1"/>
        <v>#REF!</v>
      </c>
      <c r="M10" s="27" t="e">
        <f t="shared" si="2"/>
        <v>#REF!</v>
      </c>
      <c r="N10" s="146" t="e">
        <f t="shared" si="4"/>
        <v>#REF!</v>
      </c>
      <c r="O10" s="28" t="e">
        <f t="shared" si="3"/>
        <v>#REF!</v>
      </c>
    </row>
    <row r="11" spans="1:15" ht="13.5" customHeight="1">
      <c r="A11" s="24">
        <v>210010</v>
      </c>
      <c r="B11" s="25" t="s">
        <v>181</v>
      </c>
      <c r="C11" s="29">
        <v>4657.9376696</v>
      </c>
      <c r="D11" s="26">
        <v>4177.81</v>
      </c>
      <c r="E11" s="28">
        <v>15275.06</v>
      </c>
      <c r="F11" s="28">
        <v>15260.89</v>
      </c>
      <c r="G11" s="30">
        <v>-0.000928</v>
      </c>
      <c r="H11" s="28">
        <v>-14.17525568</v>
      </c>
      <c r="I11" s="30">
        <v>0.001488</v>
      </c>
      <c r="J11" s="154" t="e">
        <f>#REF!</f>
        <v>#REF!</v>
      </c>
      <c r="K11" s="28" t="e">
        <f t="shared" si="0"/>
        <v>#REF!</v>
      </c>
      <c r="L11" s="30" t="e">
        <f t="shared" si="1"/>
        <v>#REF!</v>
      </c>
      <c r="M11" s="27" t="e">
        <f t="shared" si="2"/>
        <v>#REF!</v>
      </c>
      <c r="N11" s="146" t="e">
        <f t="shared" si="4"/>
        <v>#REF!</v>
      </c>
      <c r="O11" s="28" t="e">
        <f t="shared" si="3"/>
        <v>#REF!</v>
      </c>
    </row>
    <row r="12" spans="1:15" ht="13.5" customHeight="1">
      <c r="A12" s="24">
        <v>210011</v>
      </c>
      <c r="B12" s="25" t="s">
        <v>130</v>
      </c>
      <c r="C12" s="29">
        <v>31959.519602</v>
      </c>
      <c r="D12" s="26">
        <v>30598.4</v>
      </c>
      <c r="E12" s="28">
        <v>118031.68</v>
      </c>
      <c r="F12" s="28">
        <v>118843.7</v>
      </c>
      <c r="G12" s="30">
        <v>0.00688</v>
      </c>
      <c r="H12" s="28">
        <v>812.0579584</v>
      </c>
      <c r="I12" s="30">
        <v>0.013194</v>
      </c>
      <c r="J12" s="154" t="e">
        <f>#REF!</f>
        <v>#REF!</v>
      </c>
      <c r="K12" s="28" t="e">
        <f t="shared" si="0"/>
        <v>#REF!</v>
      </c>
      <c r="L12" s="30" t="e">
        <f t="shared" si="1"/>
        <v>#REF!</v>
      </c>
      <c r="M12" s="27" t="e">
        <f t="shared" si="2"/>
        <v>#REF!</v>
      </c>
      <c r="N12" s="146" t="e">
        <f t="shared" si="4"/>
        <v>#REF!</v>
      </c>
      <c r="O12" s="28" t="e">
        <f t="shared" si="3"/>
        <v>#REF!</v>
      </c>
    </row>
    <row r="13" spans="1:15" ht="13.5" customHeight="1">
      <c r="A13" s="24">
        <v>210012</v>
      </c>
      <c r="B13" s="25" t="s">
        <v>131</v>
      </c>
      <c r="C13" s="29">
        <v>50168.102527</v>
      </c>
      <c r="D13" s="26">
        <v>48238.98</v>
      </c>
      <c r="E13" s="28">
        <v>203899.69</v>
      </c>
      <c r="F13" s="28">
        <v>204876.4</v>
      </c>
      <c r="G13" s="30">
        <v>0.00479</v>
      </c>
      <c r="H13" s="28">
        <v>976.6795151</v>
      </c>
      <c r="I13" s="30">
        <v>0.010016</v>
      </c>
      <c r="J13" s="154" t="e">
        <f>#REF!</f>
        <v>#REF!</v>
      </c>
      <c r="K13" s="28" t="e">
        <f t="shared" si="0"/>
        <v>#REF!</v>
      </c>
      <c r="L13" s="30" t="e">
        <f t="shared" si="1"/>
        <v>#REF!</v>
      </c>
      <c r="M13" s="27" t="e">
        <f t="shared" si="2"/>
        <v>#REF!</v>
      </c>
      <c r="N13" s="146" t="e">
        <f t="shared" si="4"/>
        <v>#REF!</v>
      </c>
      <c r="O13" s="28" t="e">
        <f t="shared" si="3"/>
        <v>#REF!</v>
      </c>
    </row>
    <row r="14" spans="1:15" ht="13.5" customHeight="1">
      <c r="A14" s="24">
        <v>210013</v>
      </c>
      <c r="B14" s="25" t="s">
        <v>132</v>
      </c>
      <c r="C14" s="29">
        <v>9552.2113534</v>
      </c>
      <c r="D14" s="26">
        <v>8466.7</v>
      </c>
      <c r="E14" s="28">
        <v>24981.72</v>
      </c>
      <c r="F14" s="28">
        <v>24963.93</v>
      </c>
      <c r="G14" s="30">
        <v>-0.000712</v>
      </c>
      <c r="H14" s="28">
        <v>-17.78698464</v>
      </c>
      <c r="I14" s="30">
        <v>0.000581</v>
      </c>
      <c r="J14" s="154" t="e">
        <f>#REF!</f>
        <v>#REF!</v>
      </c>
      <c r="K14" s="28" t="e">
        <f t="shared" si="0"/>
        <v>#REF!</v>
      </c>
      <c r="L14" s="30" t="e">
        <f t="shared" si="1"/>
        <v>#REF!</v>
      </c>
      <c r="M14" s="27" t="e">
        <f t="shared" si="2"/>
        <v>#REF!</v>
      </c>
      <c r="N14" s="146" t="e">
        <f t="shared" si="4"/>
        <v>#REF!</v>
      </c>
      <c r="O14" s="28" t="e">
        <f t="shared" si="3"/>
        <v>#REF!</v>
      </c>
    </row>
    <row r="15" spans="1:15" ht="13.5" customHeight="1">
      <c r="A15" s="24">
        <v>210015</v>
      </c>
      <c r="B15" s="25" t="s">
        <v>133</v>
      </c>
      <c r="C15" s="29">
        <v>38197.700979</v>
      </c>
      <c r="D15" s="26">
        <v>36269.64</v>
      </c>
      <c r="E15" s="28">
        <v>141168.96</v>
      </c>
      <c r="F15" s="28">
        <v>141970.46</v>
      </c>
      <c r="G15" s="30">
        <v>0.005678</v>
      </c>
      <c r="H15" s="28">
        <v>801.5573548799999</v>
      </c>
      <c r="I15" s="30">
        <v>0.011951</v>
      </c>
      <c r="J15" s="154" t="e">
        <f>#REF!</f>
        <v>#REF!</v>
      </c>
      <c r="K15" s="28" t="e">
        <f t="shared" si="0"/>
        <v>#REF!</v>
      </c>
      <c r="L15" s="30" t="e">
        <f t="shared" si="1"/>
        <v>#REF!</v>
      </c>
      <c r="M15" s="27" t="e">
        <f t="shared" si="2"/>
        <v>#REF!</v>
      </c>
      <c r="N15" s="146" t="e">
        <f t="shared" si="4"/>
        <v>#REF!</v>
      </c>
      <c r="O15" s="28" t="e">
        <f t="shared" si="3"/>
        <v>#REF!</v>
      </c>
    </row>
    <row r="16" spans="1:15" ht="13.5" customHeight="1">
      <c r="A16" s="24">
        <v>210016</v>
      </c>
      <c r="B16" s="25" t="s">
        <v>134</v>
      </c>
      <c r="C16" s="29">
        <v>19249.38751</v>
      </c>
      <c r="D16" s="26">
        <v>18482.49</v>
      </c>
      <c r="E16" s="28">
        <v>150543.32</v>
      </c>
      <c r="F16" s="28">
        <v>152157.21</v>
      </c>
      <c r="G16" s="30">
        <v>0.01072</v>
      </c>
      <c r="H16" s="28">
        <v>1613.8243904</v>
      </c>
      <c r="I16" s="30">
        <v>0.023721</v>
      </c>
      <c r="J16" s="154" t="e">
        <f>#REF!</f>
        <v>#REF!</v>
      </c>
      <c r="K16" s="28" t="e">
        <f t="shared" si="0"/>
        <v>#REF!</v>
      </c>
      <c r="L16" s="30" t="e">
        <f t="shared" si="1"/>
        <v>#REF!</v>
      </c>
      <c r="M16" s="27" t="e">
        <f t="shared" si="2"/>
        <v>#REF!</v>
      </c>
      <c r="N16" s="146" t="e">
        <f t="shared" si="4"/>
        <v>#REF!</v>
      </c>
      <c r="O16" s="28" t="e">
        <f t="shared" si="3"/>
        <v>#REF!</v>
      </c>
    </row>
    <row r="17" spans="1:15" ht="13.5" customHeight="1">
      <c r="A17" s="24">
        <v>210017</v>
      </c>
      <c r="B17" s="25" t="s">
        <v>135</v>
      </c>
      <c r="C17" s="29">
        <v>3063.9081006</v>
      </c>
      <c r="D17" s="26">
        <v>2928.01</v>
      </c>
      <c r="E17" s="28">
        <v>19828.95</v>
      </c>
      <c r="F17" s="28">
        <v>19758.46</v>
      </c>
      <c r="G17" s="30">
        <v>-0.003555</v>
      </c>
      <c r="H17" s="28">
        <v>-70.49191725</v>
      </c>
      <c r="I17" s="30">
        <v>-0.001015</v>
      </c>
      <c r="J17" s="154" t="e">
        <f>#REF!</f>
        <v>#REF!</v>
      </c>
      <c r="K17" s="28" t="e">
        <f t="shared" si="0"/>
        <v>#REF!</v>
      </c>
      <c r="L17" s="30">
        <v>0</v>
      </c>
      <c r="M17" s="27">
        <f t="shared" si="2"/>
        <v>0</v>
      </c>
      <c r="N17" s="146">
        <v>0</v>
      </c>
      <c r="O17" s="28">
        <f t="shared" si="3"/>
        <v>0</v>
      </c>
    </row>
    <row r="18" spans="1:15" ht="13.5" customHeight="1">
      <c r="A18" s="24">
        <v>210018</v>
      </c>
      <c r="B18" s="25" t="s">
        <v>136</v>
      </c>
      <c r="C18" s="29">
        <v>15313.589942</v>
      </c>
      <c r="D18" s="26">
        <v>14435.77</v>
      </c>
      <c r="E18" s="28">
        <v>111189.09</v>
      </c>
      <c r="F18" s="28">
        <v>112260.77</v>
      </c>
      <c r="G18" s="30">
        <v>0.009638</v>
      </c>
      <c r="H18" s="28">
        <v>1071.64044942</v>
      </c>
      <c r="I18" s="30">
        <v>0.016834</v>
      </c>
      <c r="J18" s="154" t="e">
        <f>#REF!</f>
        <v>#REF!</v>
      </c>
      <c r="K18" s="28" t="e">
        <f t="shared" si="0"/>
        <v>#REF!</v>
      </c>
      <c r="L18" s="30" t="e">
        <f t="shared" si="1"/>
        <v>#REF!</v>
      </c>
      <c r="M18" s="27" t="e">
        <f t="shared" si="2"/>
        <v>#REF!</v>
      </c>
      <c r="N18" s="146" t="e">
        <f t="shared" si="4"/>
        <v>#REF!</v>
      </c>
      <c r="O18" s="28" t="e">
        <f t="shared" si="3"/>
        <v>#REF!</v>
      </c>
    </row>
    <row r="19" spans="1:15" ht="13.5" customHeight="1">
      <c r="A19" s="24">
        <v>210019</v>
      </c>
      <c r="B19" s="25" t="s">
        <v>182</v>
      </c>
      <c r="C19" s="29">
        <v>29046.101667</v>
      </c>
      <c r="D19" s="26">
        <v>27328.87</v>
      </c>
      <c r="E19" s="28">
        <v>129931.99</v>
      </c>
      <c r="F19" s="28">
        <v>130586.28</v>
      </c>
      <c r="G19" s="30">
        <v>0.005036</v>
      </c>
      <c r="H19" s="28">
        <v>654.33750164</v>
      </c>
      <c r="I19" s="30">
        <v>0.008618</v>
      </c>
      <c r="J19" s="154" t="e">
        <f>#REF!</f>
        <v>#REF!</v>
      </c>
      <c r="K19" s="28" t="e">
        <f t="shared" si="0"/>
        <v>#REF!</v>
      </c>
      <c r="L19" s="30" t="e">
        <f t="shared" si="1"/>
        <v>#REF!</v>
      </c>
      <c r="M19" s="27" t="e">
        <f t="shared" si="2"/>
        <v>#REF!</v>
      </c>
      <c r="N19" s="146" t="e">
        <f t="shared" si="4"/>
        <v>#REF!</v>
      </c>
      <c r="O19" s="28" t="e">
        <f t="shared" si="3"/>
        <v>#REF!</v>
      </c>
    </row>
    <row r="20" spans="1:15" ht="13.5" customHeight="1">
      <c r="A20" s="24">
        <v>210022</v>
      </c>
      <c r="B20" s="25" t="s">
        <v>137</v>
      </c>
      <c r="C20" s="29">
        <v>23287.783816</v>
      </c>
      <c r="D20" s="26">
        <v>22134.86</v>
      </c>
      <c r="E20" s="28">
        <v>187934.59</v>
      </c>
      <c r="F20" s="28">
        <v>190446.61</v>
      </c>
      <c r="G20" s="30">
        <v>0.013366</v>
      </c>
      <c r="H20" s="28">
        <v>2511.93372994</v>
      </c>
      <c r="I20" s="30">
        <v>0.022851</v>
      </c>
      <c r="J20" s="154" t="e">
        <f>#REF!</f>
        <v>#REF!</v>
      </c>
      <c r="K20" s="28" t="e">
        <f t="shared" si="0"/>
        <v>#REF!</v>
      </c>
      <c r="L20" s="30" t="e">
        <f t="shared" si="1"/>
        <v>#REF!</v>
      </c>
      <c r="M20" s="27" t="e">
        <f t="shared" si="2"/>
        <v>#REF!</v>
      </c>
      <c r="N20" s="146" t="e">
        <f t="shared" si="4"/>
        <v>#REF!</v>
      </c>
      <c r="O20" s="28" t="e">
        <f t="shared" si="3"/>
        <v>#REF!</v>
      </c>
    </row>
    <row r="21" spans="1:15" ht="13.5" customHeight="1">
      <c r="A21" s="24">
        <v>210023</v>
      </c>
      <c r="B21" s="25" t="s">
        <v>138</v>
      </c>
      <c r="C21" s="29">
        <v>49775.76148</v>
      </c>
      <c r="D21" s="26">
        <v>47936.53</v>
      </c>
      <c r="E21" s="28">
        <v>299160.61</v>
      </c>
      <c r="F21" s="28">
        <v>301587.72</v>
      </c>
      <c r="G21" s="30">
        <v>0.008113</v>
      </c>
      <c r="H21" s="28">
        <v>2427.09002893</v>
      </c>
      <c r="I21" s="30">
        <v>0.01539</v>
      </c>
      <c r="J21" s="154" t="e">
        <f>#REF!</f>
        <v>#REF!</v>
      </c>
      <c r="K21" s="28" t="e">
        <f t="shared" si="0"/>
        <v>#REF!</v>
      </c>
      <c r="L21" s="30" t="e">
        <f t="shared" si="1"/>
        <v>#REF!</v>
      </c>
      <c r="M21" s="27" t="e">
        <f t="shared" si="2"/>
        <v>#REF!</v>
      </c>
      <c r="N21" s="146" t="e">
        <f t="shared" si="4"/>
        <v>#REF!</v>
      </c>
      <c r="O21" s="28" t="e">
        <f t="shared" si="3"/>
        <v>#REF!</v>
      </c>
    </row>
    <row r="22" spans="1:15" ht="13.5" customHeight="1">
      <c r="A22" s="24">
        <v>210024</v>
      </c>
      <c r="B22" s="25" t="s">
        <v>139</v>
      </c>
      <c r="C22" s="29">
        <v>31215.864661</v>
      </c>
      <c r="D22" s="26">
        <v>30383.01</v>
      </c>
      <c r="E22" s="28">
        <v>105235.8</v>
      </c>
      <c r="F22" s="28">
        <v>105942.64</v>
      </c>
      <c r="G22" s="30">
        <v>0.006717</v>
      </c>
      <c r="H22" s="28">
        <v>706.8688686</v>
      </c>
      <c r="I22" s="30">
        <v>0.015095</v>
      </c>
      <c r="J22" s="154" t="e">
        <f>#REF!</f>
        <v>#REF!</v>
      </c>
      <c r="K22" s="28" t="e">
        <f t="shared" si="0"/>
        <v>#REF!</v>
      </c>
      <c r="L22" s="30" t="e">
        <f t="shared" si="1"/>
        <v>#REF!</v>
      </c>
      <c r="M22" s="27" t="e">
        <f t="shared" si="2"/>
        <v>#REF!</v>
      </c>
      <c r="N22" s="146" t="e">
        <f t="shared" si="4"/>
        <v>#REF!</v>
      </c>
      <c r="O22" s="28" t="e">
        <f t="shared" si="3"/>
        <v>#REF!</v>
      </c>
    </row>
    <row r="23" spans="1:15" ht="13.5" customHeight="1">
      <c r="A23" s="24">
        <v>210027</v>
      </c>
      <c r="B23" s="25" t="s">
        <v>140</v>
      </c>
      <c r="C23" s="29">
        <v>16953.194923</v>
      </c>
      <c r="D23" s="26">
        <v>15749.05</v>
      </c>
      <c r="E23" s="28">
        <v>73295.59</v>
      </c>
      <c r="F23" s="28">
        <v>73107.57</v>
      </c>
      <c r="G23" s="30">
        <v>-0.002565</v>
      </c>
      <c r="H23" s="28">
        <v>-188.00318835</v>
      </c>
      <c r="I23" s="30">
        <v>0.00139</v>
      </c>
      <c r="J23" s="154" t="e">
        <f>#REF!</f>
        <v>#REF!</v>
      </c>
      <c r="K23" s="28" t="e">
        <f t="shared" si="0"/>
        <v>#REF!</v>
      </c>
      <c r="L23" s="30" t="e">
        <f t="shared" si="1"/>
        <v>#REF!</v>
      </c>
      <c r="M23" s="27" t="e">
        <f t="shared" si="2"/>
        <v>#REF!</v>
      </c>
      <c r="N23" s="146" t="e">
        <f t="shared" si="4"/>
        <v>#REF!</v>
      </c>
      <c r="O23" s="28" t="e">
        <f t="shared" si="3"/>
        <v>#REF!</v>
      </c>
    </row>
    <row r="24" spans="1:15" ht="13.5" customHeight="1">
      <c r="A24" s="24">
        <v>210028</v>
      </c>
      <c r="B24" s="25" t="s">
        <v>141</v>
      </c>
      <c r="C24" s="29">
        <v>14101.479119</v>
      </c>
      <c r="D24" s="26">
        <v>13598.96</v>
      </c>
      <c r="E24" s="28">
        <v>93121.29</v>
      </c>
      <c r="F24" s="28">
        <v>94061.82</v>
      </c>
      <c r="G24" s="30">
        <v>0.0101</v>
      </c>
      <c r="H24" s="28">
        <v>940.5250289999999</v>
      </c>
      <c r="I24" s="30">
        <v>0.015631</v>
      </c>
      <c r="J24" s="154" t="e">
        <f>#REF!</f>
        <v>#REF!</v>
      </c>
      <c r="K24" s="28" t="e">
        <f t="shared" si="0"/>
        <v>#REF!</v>
      </c>
      <c r="L24" s="30" t="e">
        <f t="shared" si="1"/>
        <v>#REF!</v>
      </c>
      <c r="M24" s="27" t="e">
        <f t="shared" si="2"/>
        <v>#REF!</v>
      </c>
      <c r="N24" s="146" t="e">
        <f t="shared" si="4"/>
        <v>#REF!</v>
      </c>
      <c r="O24" s="28" t="e">
        <f t="shared" si="3"/>
        <v>#REF!</v>
      </c>
    </row>
    <row r="25" spans="1:15" ht="13.5" customHeight="1">
      <c r="A25" s="24">
        <v>210029</v>
      </c>
      <c r="B25" s="25" t="s">
        <v>142</v>
      </c>
      <c r="C25" s="29">
        <v>35456.280783</v>
      </c>
      <c r="D25" s="26">
        <v>34537.33</v>
      </c>
      <c r="E25" s="28">
        <v>145857.47</v>
      </c>
      <c r="F25" s="28">
        <v>146609.85</v>
      </c>
      <c r="G25" s="30">
        <v>0.005158</v>
      </c>
      <c r="H25" s="28">
        <v>752.33283026</v>
      </c>
      <c r="I25" s="30">
        <v>0.010314</v>
      </c>
      <c r="J25" s="154" t="e">
        <f>#REF!</f>
        <v>#REF!</v>
      </c>
      <c r="K25" s="28" t="e">
        <f t="shared" si="0"/>
        <v>#REF!</v>
      </c>
      <c r="L25" s="30" t="e">
        <f t="shared" si="1"/>
        <v>#REF!</v>
      </c>
      <c r="M25" s="27" t="e">
        <f t="shared" si="2"/>
        <v>#REF!</v>
      </c>
      <c r="N25" s="146" t="e">
        <f t="shared" si="4"/>
        <v>#REF!</v>
      </c>
      <c r="O25" s="28" t="e">
        <f t="shared" si="3"/>
        <v>#REF!</v>
      </c>
    </row>
    <row r="26" spans="1:15" ht="13.5" customHeight="1">
      <c r="A26" s="24">
        <v>210030</v>
      </c>
      <c r="B26" s="25" t="s">
        <v>183</v>
      </c>
      <c r="C26" s="29">
        <v>4091.8469852</v>
      </c>
      <c r="D26" s="26">
        <v>3888.99</v>
      </c>
      <c r="E26" s="28">
        <v>17952.48</v>
      </c>
      <c r="F26" s="28">
        <v>17989.29</v>
      </c>
      <c r="G26" s="30">
        <v>0.00205</v>
      </c>
      <c r="H26" s="28">
        <v>36.802584</v>
      </c>
      <c r="I26" s="30">
        <v>0.005737</v>
      </c>
      <c r="J26" s="154" t="e">
        <f>#REF!</f>
        <v>#REF!</v>
      </c>
      <c r="K26" s="28" t="e">
        <f t="shared" si="0"/>
        <v>#REF!</v>
      </c>
      <c r="L26" s="30" t="e">
        <f t="shared" si="1"/>
        <v>#REF!</v>
      </c>
      <c r="M26" s="27" t="e">
        <f t="shared" si="2"/>
        <v>#REF!</v>
      </c>
      <c r="N26" s="146" t="e">
        <f t="shared" si="4"/>
        <v>#REF!</v>
      </c>
      <c r="O26" s="28" t="e">
        <f t="shared" si="3"/>
        <v>#REF!</v>
      </c>
    </row>
    <row r="27" spans="1:15" ht="13.5" customHeight="1">
      <c r="A27" s="24">
        <v>210032</v>
      </c>
      <c r="B27" s="25" t="s">
        <v>143</v>
      </c>
      <c r="C27" s="29">
        <v>12325.179057</v>
      </c>
      <c r="D27" s="26">
        <v>11032.06</v>
      </c>
      <c r="E27" s="28">
        <v>67556.87</v>
      </c>
      <c r="F27" s="28">
        <v>67797.44</v>
      </c>
      <c r="G27" s="30">
        <v>0.003561</v>
      </c>
      <c r="H27" s="28">
        <v>240.57001406999998</v>
      </c>
      <c r="I27" s="30">
        <v>0.009873</v>
      </c>
      <c r="J27" s="154" t="e">
        <f>#REF!</f>
        <v>#REF!</v>
      </c>
      <c r="K27" s="28" t="e">
        <f t="shared" si="0"/>
        <v>#REF!</v>
      </c>
      <c r="L27" s="30" t="e">
        <f t="shared" si="1"/>
        <v>#REF!</v>
      </c>
      <c r="M27" s="27" t="e">
        <f t="shared" si="2"/>
        <v>#REF!</v>
      </c>
      <c r="N27" s="146" t="e">
        <f t="shared" si="4"/>
        <v>#REF!</v>
      </c>
      <c r="O27" s="28" t="e">
        <f t="shared" si="3"/>
        <v>#REF!</v>
      </c>
    </row>
    <row r="28" spans="1:15" ht="13.5" customHeight="1">
      <c r="A28" s="24">
        <v>210033</v>
      </c>
      <c r="B28" s="25" t="s">
        <v>144</v>
      </c>
      <c r="C28" s="29">
        <v>19196.218929</v>
      </c>
      <c r="D28" s="26">
        <v>18070.36</v>
      </c>
      <c r="E28" s="28">
        <v>88235.54</v>
      </c>
      <c r="F28" s="28">
        <v>88514.79</v>
      </c>
      <c r="G28" s="30">
        <v>0.003165</v>
      </c>
      <c r="H28" s="28">
        <v>279.2654841</v>
      </c>
      <c r="I28" s="30">
        <v>0.007458</v>
      </c>
      <c r="J28" s="154" t="e">
        <f>#REF!</f>
        <v>#REF!</v>
      </c>
      <c r="K28" s="28" t="e">
        <f t="shared" si="0"/>
        <v>#REF!</v>
      </c>
      <c r="L28" s="30" t="e">
        <f t="shared" si="1"/>
        <v>#REF!</v>
      </c>
      <c r="M28" s="27" t="e">
        <f t="shared" si="2"/>
        <v>#REF!</v>
      </c>
      <c r="N28" s="146" t="e">
        <f t="shared" si="4"/>
        <v>#REF!</v>
      </c>
      <c r="O28" s="28" t="e">
        <f t="shared" si="3"/>
        <v>#REF!</v>
      </c>
    </row>
    <row r="29" spans="1:15" ht="13.5" customHeight="1">
      <c r="A29" s="24">
        <v>210034</v>
      </c>
      <c r="B29" s="25" t="s">
        <v>145</v>
      </c>
      <c r="C29" s="29">
        <v>15966.574333</v>
      </c>
      <c r="D29" s="26">
        <v>15324.37</v>
      </c>
      <c r="E29" s="28">
        <v>62885.84</v>
      </c>
      <c r="F29" s="28">
        <v>63245.04</v>
      </c>
      <c r="G29" s="30">
        <v>0.005712</v>
      </c>
      <c r="H29" s="28">
        <v>359.20391808</v>
      </c>
      <c r="I29" s="30">
        <v>0.010404</v>
      </c>
      <c r="J29" s="154" t="e">
        <f>#REF!</f>
        <v>#REF!</v>
      </c>
      <c r="K29" s="28" t="e">
        <f t="shared" si="0"/>
        <v>#REF!</v>
      </c>
      <c r="L29" s="30" t="e">
        <f t="shared" si="1"/>
        <v>#REF!</v>
      </c>
      <c r="M29" s="27" t="e">
        <f t="shared" si="2"/>
        <v>#REF!</v>
      </c>
      <c r="N29" s="146" t="e">
        <f t="shared" si="4"/>
        <v>#REF!</v>
      </c>
      <c r="O29" s="28" t="e">
        <f t="shared" si="3"/>
        <v>#REF!</v>
      </c>
    </row>
    <row r="30" spans="1:15" ht="13.5" customHeight="1">
      <c r="A30" s="24">
        <v>210035</v>
      </c>
      <c r="B30" s="25" t="s">
        <v>184</v>
      </c>
      <c r="C30" s="29">
        <v>12938.034425</v>
      </c>
      <c r="D30" s="26">
        <v>12353.75</v>
      </c>
      <c r="E30" s="28">
        <v>92700.6</v>
      </c>
      <c r="F30" s="28">
        <v>93499.84</v>
      </c>
      <c r="G30" s="30">
        <v>0.008622</v>
      </c>
      <c r="H30" s="28">
        <v>799.2645732</v>
      </c>
      <c r="I30" s="30">
        <v>0.016563</v>
      </c>
      <c r="J30" s="154" t="e">
        <f>#REF!</f>
        <v>#REF!</v>
      </c>
      <c r="K30" s="28" t="e">
        <f t="shared" si="0"/>
        <v>#REF!</v>
      </c>
      <c r="L30" s="30" t="e">
        <f t="shared" si="1"/>
        <v>#REF!</v>
      </c>
      <c r="M30" s="27" t="e">
        <f t="shared" si="2"/>
        <v>#REF!</v>
      </c>
      <c r="N30" s="146" t="e">
        <f t="shared" si="4"/>
        <v>#REF!</v>
      </c>
      <c r="O30" s="28" t="e">
        <f t="shared" si="3"/>
        <v>#REF!</v>
      </c>
    </row>
    <row r="31" spans="1:15" ht="13.5" customHeight="1">
      <c r="A31" s="24">
        <v>210037</v>
      </c>
      <c r="B31" s="25" t="s">
        <v>185</v>
      </c>
      <c r="C31" s="29">
        <v>14675.293801</v>
      </c>
      <c r="D31" s="26">
        <v>13953.27</v>
      </c>
      <c r="E31" s="28">
        <v>60141.71</v>
      </c>
      <c r="F31" s="28">
        <v>60309.77</v>
      </c>
      <c r="G31" s="30">
        <v>0.002794</v>
      </c>
      <c r="H31" s="28">
        <v>168.03593774</v>
      </c>
      <c r="I31" s="30">
        <v>0.008213</v>
      </c>
      <c r="J31" s="154" t="e">
        <f>#REF!</f>
        <v>#REF!</v>
      </c>
      <c r="K31" s="28" t="e">
        <f t="shared" si="0"/>
        <v>#REF!</v>
      </c>
      <c r="L31" s="30" t="e">
        <f t="shared" si="1"/>
        <v>#REF!</v>
      </c>
      <c r="M31" s="27" t="e">
        <f t="shared" si="2"/>
        <v>#REF!</v>
      </c>
      <c r="N31" s="146" t="e">
        <f t="shared" si="4"/>
        <v>#REF!</v>
      </c>
      <c r="O31" s="28" t="e">
        <f t="shared" si="3"/>
        <v>#REF!</v>
      </c>
    </row>
    <row r="32" spans="1:15" ht="13.5" customHeight="1">
      <c r="A32" s="24">
        <v>210038</v>
      </c>
      <c r="B32" s="25" t="s">
        <v>186</v>
      </c>
      <c r="C32" s="29">
        <v>13181.761768</v>
      </c>
      <c r="D32" s="26">
        <v>12492.94</v>
      </c>
      <c r="E32" s="28">
        <v>43463.07</v>
      </c>
      <c r="F32" s="28">
        <v>43557.16</v>
      </c>
      <c r="G32" s="30">
        <v>0.002165</v>
      </c>
      <c r="H32" s="28">
        <v>94.09754654999999</v>
      </c>
      <c r="I32" s="30">
        <v>0.005573</v>
      </c>
      <c r="J32" s="154" t="e">
        <f>#REF!</f>
        <v>#REF!</v>
      </c>
      <c r="K32" s="28" t="e">
        <f t="shared" si="0"/>
        <v>#REF!</v>
      </c>
      <c r="L32" s="30" t="e">
        <f t="shared" si="1"/>
        <v>#REF!</v>
      </c>
      <c r="M32" s="27" t="e">
        <f t="shared" si="2"/>
        <v>#REF!</v>
      </c>
      <c r="N32" s="146" t="e">
        <f t="shared" si="4"/>
        <v>#REF!</v>
      </c>
      <c r="O32" s="28" t="e">
        <f t="shared" si="3"/>
        <v>#REF!</v>
      </c>
    </row>
    <row r="33" spans="1:15" ht="13.5" customHeight="1">
      <c r="A33" s="24">
        <v>210039</v>
      </c>
      <c r="B33" s="25" t="s">
        <v>146</v>
      </c>
      <c r="C33" s="29">
        <v>12040.478</v>
      </c>
      <c r="D33" s="26">
        <v>11289.19</v>
      </c>
      <c r="E33" s="28">
        <v>71734.42</v>
      </c>
      <c r="F33" s="28">
        <v>72085.5</v>
      </c>
      <c r="G33" s="30">
        <v>0.004894</v>
      </c>
      <c r="H33" s="28">
        <v>351.06825147999996</v>
      </c>
      <c r="I33" s="30">
        <v>0.008463</v>
      </c>
      <c r="J33" s="154" t="e">
        <f>#REF!</f>
        <v>#REF!</v>
      </c>
      <c r="K33" s="28" t="e">
        <f t="shared" si="0"/>
        <v>#REF!</v>
      </c>
      <c r="L33" s="30" t="e">
        <f t="shared" si="1"/>
        <v>#REF!</v>
      </c>
      <c r="M33" s="27" t="e">
        <f t="shared" si="2"/>
        <v>#REF!</v>
      </c>
      <c r="N33" s="146" t="e">
        <f t="shared" si="4"/>
        <v>#REF!</v>
      </c>
      <c r="O33" s="28" t="e">
        <f t="shared" si="3"/>
        <v>#REF!</v>
      </c>
    </row>
    <row r="34" spans="1:15" ht="13.5" customHeight="1">
      <c r="A34" s="24">
        <v>210040</v>
      </c>
      <c r="B34" s="25" t="s">
        <v>147</v>
      </c>
      <c r="C34" s="29">
        <v>20796.405516</v>
      </c>
      <c r="D34" s="26">
        <v>19636.83</v>
      </c>
      <c r="E34" s="28">
        <v>73132.33</v>
      </c>
      <c r="F34" s="28">
        <v>73679.7</v>
      </c>
      <c r="G34" s="30">
        <v>0.007485</v>
      </c>
      <c r="H34" s="28">
        <v>547.39549005</v>
      </c>
      <c r="I34" s="30">
        <v>0.015002</v>
      </c>
      <c r="J34" s="154" t="e">
        <f>#REF!</f>
        <v>#REF!</v>
      </c>
      <c r="K34" s="28" t="e">
        <f t="shared" si="0"/>
        <v>#REF!</v>
      </c>
      <c r="L34" s="30" t="e">
        <f t="shared" si="1"/>
        <v>#REF!</v>
      </c>
      <c r="M34" s="27" t="e">
        <f t="shared" si="2"/>
        <v>#REF!</v>
      </c>
      <c r="N34" s="146" t="e">
        <f t="shared" si="4"/>
        <v>#REF!</v>
      </c>
      <c r="O34" s="28" t="e">
        <f t="shared" si="3"/>
        <v>#REF!</v>
      </c>
    </row>
    <row r="35" spans="1:15" ht="13.5" customHeight="1">
      <c r="A35" s="24">
        <v>210043</v>
      </c>
      <c r="B35" s="25" t="s">
        <v>148</v>
      </c>
      <c r="C35" s="29">
        <v>35141.423549</v>
      </c>
      <c r="D35" s="26">
        <v>33235.79</v>
      </c>
      <c r="E35" s="28">
        <v>146659.32</v>
      </c>
      <c r="F35" s="28">
        <v>148174.57</v>
      </c>
      <c r="G35" s="30">
        <v>0.010332</v>
      </c>
      <c r="H35" s="28">
        <v>1515.28409424</v>
      </c>
      <c r="I35" s="30">
        <v>0.020618</v>
      </c>
      <c r="J35" s="154" t="e">
        <f>#REF!</f>
        <v>#REF!</v>
      </c>
      <c r="K35" s="28" t="e">
        <f aca="true" t="shared" si="5" ref="K35:K51">E35*J35</f>
        <v>#REF!</v>
      </c>
      <c r="L35" s="30" t="e">
        <f t="shared" si="1"/>
        <v>#REF!</v>
      </c>
      <c r="M35" s="27" t="e">
        <f aca="true" t="shared" si="6" ref="M35:M51">E35*L35</f>
        <v>#REF!</v>
      </c>
      <c r="N35" s="146" t="e">
        <f t="shared" si="4"/>
        <v>#REF!</v>
      </c>
      <c r="O35" s="28" t="e">
        <f aca="true" t="shared" si="7" ref="O35:O51">E35*N35</f>
        <v>#REF!</v>
      </c>
    </row>
    <row r="36" spans="1:15" ht="13.5" customHeight="1">
      <c r="A36" s="24">
        <v>210044</v>
      </c>
      <c r="B36" s="25" t="s">
        <v>149</v>
      </c>
      <c r="C36" s="29">
        <v>37117.390195</v>
      </c>
      <c r="D36" s="26">
        <v>35959.66</v>
      </c>
      <c r="E36" s="28">
        <v>169995.94</v>
      </c>
      <c r="F36" s="28">
        <v>170864.15</v>
      </c>
      <c r="G36" s="30">
        <v>0.005107</v>
      </c>
      <c r="H36" s="28">
        <v>868.1692655800001</v>
      </c>
      <c r="I36" s="30">
        <v>0.009247</v>
      </c>
      <c r="J36" s="154" t="e">
        <f>#REF!</f>
        <v>#REF!</v>
      </c>
      <c r="K36" s="28" t="e">
        <f t="shared" si="5"/>
        <v>#REF!</v>
      </c>
      <c r="L36" s="30" t="e">
        <f t="shared" si="1"/>
        <v>#REF!</v>
      </c>
      <c r="M36" s="27" t="e">
        <f t="shared" si="6"/>
        <v>#REF!</v>
      </c>
      <c r="N36" s="146" t="e">
        <f t="shared" si="4"/>
        <v>#REF!</v>
      </c>
      <c r="O36" s="28" t="e">
        <f t="shared" si="7"/>
        <v>#REF!</v>
      </c>
    </row>
    <row r="37" spans="1:15" ht="13.5" customHeight="1">
      <c r="A37" s="24">
        <v>210045</v>
      </c>
      <c r="B37" s="25" t="s">
        <v>150</v>
      </c>
      <c r="C37" s="29">
        <v>909.17107274</v>
      </c>
      <c r="D37" s="26">
        <v>813.1</v>
      </c>
      <c r="E37" s="28">
        <v>2814.64</v>
      </c>
      <c r="F37" s="28">
        <v>2798.35</v>
      </c>
      <c r="G37" s="30">
        <v>-0.005788</v>
      </c>
      <c r="H37" s="28">
        <v>-16.29113632</v>
      </c>
      <c r="I37" s="30">
        <v>-0.004725</v>
      </c>
      <c r="J37" s="154" t="e">
        <f>#REF!</f>
        <v>#REF!</v>
      </c>
      <c r="K37" s="28" t="e">
        <f t="shared" si="5"/>
        <v>#REF!</v>
      </c>
      <c r="L37" s="30">
        <v>0</v>
      </c>
      <c r="M37" s="27">
        <f t="shared" si="6"/>
        <v>0</v>
      </c>
      <c r="N37" s="146">
        <v>0</v>
      </c>
      <c r="O37" s="28">
        <f t="shared" si="7"/>
        <v>0</v>
      </c>
    </row>
    <row r="38" spans="1:15" ht="13.5" customHeight="1">
      <c r="A38" s="24">
        <v>210048</v>
      </c>
      <c r="B38" s="25" t="s">
        <v>151</v>
      </c>
      <c r="C38" s="29">
        <v>25282.956863</v>
      </c>
      <c r="D38" s="26">
        <v>24082.3</v>
      </c>
      <c r="E38" s="28">
        <v>177109.74</v>
      </c>
      <c r="F38" s="28">
        <v>178882.01</v>
      </c>
      <c r="G38" s="30">
        <v>0.010007</v>
      </c>
      <c r="H38" s="28">
        <v>1772.33716818</v>
      </c>
      <c r="I38" s="30">
        <v>0.016224</v>
      </c>
      <c r="J38" s="154" t="e">
        <f>#REF!</f>
        <v>#REF!</v>
      </c>
      <c r="K38" s="28" t="e">
        <f t="shared" si="5"/>
        <v>#REF!</v>
      </c>
      <c r="L38" s="30" t="e">
        <f aca="true" t="shared" si="8" ref="L38:L51">I38*(1-J38)</f>
        <v>#REF!</v>
      </c>
      <c r="M38" s="27" t="e">
        <f t="shared" si="6"/>
        <v>#REF!</v>
      </c>
      <c r="N38" s="146" t="e">
        <f t="shared" si="4"/>
        <v>#REF!</v>
      </c>
      <c r="O38" s="28" t="e">
        <f t="shared" si="7"/>
        <v>#REF!</v>
      </c>
    </row>
    <row r="39" spans="1:15" ht="13.5" customHeight="1">
      <c r="A39" s="24">
        <v>210049</v>
      </c>
      <c r="B39" s="25" t="s">
        <v>152</v>
      </c>
      <c r="C39" s="29">
        <v>26711.957068</v>
      </c>
      <c r="D39" s="26">
        <v>25497.66</v>
      </c>
      <c r="E39" s="28">
        <v>108151.15</v>
      </c>
      <c r="F39" s="28">
        <v>108936.88</v>
      </c>
      <c r="G39" s="30">
        <v>0.007265</v>
      </c>
      <c r="H39" s="28">
        <v>785.71810475</v>
      </c>
      <c r="I39" s="30">
        <v>0.014818</v>
      </c>
      <c r="J39" s="154" t="e">
        <f>#REF!</f>
        <v>#REF!</v>
      </c>
      <c r="K39" s="28" t="e">
        <f t="shared" si="5"/>
        <v>#REF!</v>
      </c>
      <c r="L39" s="30" t="e">
        <f t="shared" si="8"/>
        <v>#REF!</v>
      </c>
      <c r="M39" s="27" t="e">
        <f t="shared" si="6"/>
        <v>#REF!</v>
      </c>
      <c r="N39" s="146" t="e">
        <f t="shared" si="4"/>
        <v>#REF!</v>
      </c>
      <c r="O39" s="28" t="e">
        <f t="shared" si="7"/>
        <v>#REF!</v>
      </c>
    </row>
    <row r="40" spans="1:15" ht="13.5" customHeight="1">
      <c r="A40" s="24">
        <v>210051</v>
      </c>
      <c r="B40" s="25" t="s">
        <v>153</v>
      </c>
      <c r="C40" s="29">
        <v>17079.268159</v>
      </c>
      <c r="D40" s="26">
        <v>16307.56</v>
      </c>
      <c r="E40" s="28">
        <v>125315.29</v>
      </c>
      <c r="F40" s="28">
        <v>126593.52</v>
      </c>
      <c r="G40" s="30">
        <v>0.0102</v>
      </c>
      <c r="H40" s="28">
        <v>1278.215958</v>
      </c>
      <c r="I40" s="30">
        <v>0.021646</v>
      </c>
      <c r="J40" s="154" t="e">
        <f>#REF!</f>
        <v>#REF!</v>
      </c>
      <c r="K40" s="28" t="e">
        <f t="shared" si="5"/>
        <v>#REF!</v>
      </c>
      <c r="L40" s="30" t="e">
        <f t="shared" si="8"/>
        <v>#REF!</v>
      </c>
      <c r="M40" s="27" t="e">
        <f t="shared" si="6"/>
        <v>#REF!</v>
      </c>
      <c r="N40" s="146" t="e">
        <f t="shared" si="4"/>
        <v>#REF!</v>
      </c>
      <c r="O40" s="28" t="e">
        <f t="shared" si="7"/>
        <v>#REF!</v>
      </c>
    </row>
    <row r="41" spans="1:15" ht="13.5" customHeight="1">
      <c r="A41" s="24">
        <v>210055</v>
      </c>
      <c r="B41" s="25" t="s">
        <v>154</v>
      </c>
      <c r="C41" s="29">
        <v>9183.0927869</v>
      </c>
      <c r="D41" s="26">
        <v>8508.42</v>
      </c>
      <c r="E41" s="28">
        <v>62374.21</v>
      </c>
      <c r="F41" s="28">
        <v>62850.39</v>
      </c>
      <c r="G41" s="30">
        <v>0.007634</v>
      </c>
      <c r="H41" s="28">
        <v>476.16471914</v>
      </c>
      <c r="I41" s="30">
        <v>0.017451</v>
      </c>
      <c r="J41" s="154" t="e">
        <f>#REF!</f>
        <v>#REF!</v>
      </c>
      <c r="K41" s="28" t="e">
        <f t="shared" si="5"/>
        <v>#REF!</v>
      </c>
      <c r="L41" s="30" t="e">
        <f t="shared" si="8"/>
        <v>#REF!</v>
      </c>
      <c r="M41" s="27" t="e">
        <f t="shared" si="6"/>
        <v>#REF!</v>
      </c>
      <c r="N41" s="146" t="e">
        <f t="shared" si="4"/>
        <v>#REF!</v>
      </c>
      <c r="O41" s="28" t="e">
        <f t="shared" si="7"/>
        <v>#REF!</v>
      </c>
    </row>
    <row r="42" spans="1:15" ht="13.5" customHeight="1">
      <c r="A42" s="24">
        <v>210056</v>
      </c>
      <c r="B42" s="25" t="s">
        <v>155</v>
      </c>
      <c r="C42" s="29">
        <v>26898.080359</v>
      </c>
      <c r="D42" s="26">
        <v>25803.14</v>
      </c>
      <c r="E42" s="28">
        <v>79628.86</v>
      </c>
      <c r="F42" s="28">
        <v>80182.69</v>
      </c>
      <c r="G42" s="30">
        <v>0.006955</v>
      </c>
      <c r="H42" s="28">
        <v>553.8187213</v>
      </c>
      <c r="I42" s="30">
        <v>0.01761</v>
      </c>
      <c r="J42" s="154" t="e">
        <f>#REF!</f>
        <v>#REF!</v>
      </c>
      <c r="K42" s="28" t="e">
        <f t="shared" si="5"/>
        <v>#REF!</v>
      </c>
      <c r="L42" s="30" t="e">
        <f t="shared" si="8"/>
        <v>#REF!</v>
      </c>
      <c r="M42" s="27" t="e">
        <f t="shared" si="6"/>
        <v>#REF!</v>
      </c>
      <c r="N42" s="146" t="e">
        <f t="shared" si="4"/>
        <v>#REF!</v>
      </c>
      <c r="O42" s="28" t="e">
        <f t="shared" si="7"/>
        <v>#REF!</v>
      </c>
    </row>
    <row r="43" spans="1:15" ht="13.5" customHeight="1">
      <c r="A43" s="24">
        <v>210057</v>
      </c>
      <c r="B43" s="25" t="s">
        <v>156</v>
      </c>
      <c r="C43" s="29">
        <v>32501.514097</v>
      </c>
      <c r="D43" s="26">
        <v>31159.36</v>
      </c>
      <c r="E43" s="28">
        <v>329916.1</v>
      </c>
      <c r="F43" s="28">
        <v>333451.31</v>
      </c>
      <c r="G43" s="30">
        <v>0.010715</v>
      </c>
      <c r="H43" s="28">
        <v>3535.0510114999997</v>
      </c>
      <c r="I43" s="30">
        <v>0.016418</v>
      </c>
      <c r="J43" s="154" t="e">
        <f>#REF!</f>
        <v>#REF!</v>
      </c>
      <c r="K43" s="28" t="e">
        <f t="shared" si="5"/>
        <v>#REF!</v>
      </c>
      <c r="L43" s="30" t="e">
        <f t="shared" si="8"/>
        <v>#REF!</v>
      </c>
      <c r="M43" s="27" t="e">
        <f t="shared" si="6"/>
        <v>#REF!</v>
      </c>
      <c r="N43" s="146" t="e">
        <f t="shared" si="4"/>
        <v>#REF!</v>
      </c>
      <c r="O43" s="28" t="e">
        <f t="shared" si="7"/>
        <v>#REF!</v>
      </c>
    </row>
    <row r="44" spans="1:15" ht="13.5" customHeight="1">
      <c r="A44" s="24">
        <v>210058</v>
      </c>
      <c r="B44" s="25" t="s">
        <v>187</v>
      </c>
      <c r="C44" s="29">
        <v>9172.3192642</v>
      </c>
      <c r="D44" s="26">
        <v>8013.78</v>
      </c>
      <c r="E44" s="28">
        <v>41821.52</v>
      </c>
      <c r="F44" s="28">
        <v>42131.52</v>
      </c>
      <c r="G44" s="30">
        <v>0.007412</v>
      </c>
      <c r="H44" s="28">
        <v>309.98110624</v>
      </c>
      <c r="I44" s="30">
        <v>0.011432</v>
      </c>
      <c r="J44" s="154" t="e">
        <f>#REF!</f>
        <v>#REF!</v>
      </c>
      <c r="K44" s="28" t="e">
        <f t="shared" si="5"/>
        <v>#REF!</v>
      </c>
      <c r="L44" s="30" t="e">
        <f t="shared" si="8"/>
        <v>#REF!</v>
      </c>
      <c r="M44" s="27" t="e">
        <f t="shared" si="6"/>
        <v>#REF!</v>
      </c>
      <c r="N44" s="146" t="e">
        <f t="shared" si="4"/>
        <v>#REF!</v>
      </c>
      <c r="O44" s="28" t="e">
        <f t="shared" si="7"/>
        <v>#REF!</v>
      </c>
    </row>
    <row r="45" spans="1:15" ht="13.5" customHeight="1">
      <c r="A45" s="24">
        <v>210060</v>
      </c>
      <c r="B45" s="25" t="s">
        <v>157</v>
      </c>
      <c r="C45" s="29">
        <v>3919.8122097</v>
      </c>
      <c r="D45" s="26">
        <v>3664.16</v>
      </c>
      <c r="E45" s="28">
        <v>31215.66</v>
      </c>
      <c r="F45" s="28">
        <v>31494.21</v>
      </c>
      <c r="G45" s="30">
        <v>0.008923</v>
      </c>
      <c r="H45" s="28">
        <v>278.53733418</v>
      </c>
      <c r="I45" s="30">
        <v>0.021373</v>
      </c>
      <c r="J45" s="154" t="e">
        <f>#REF!</f>
        <v>#REF!</v>
      </c>
      <c r="K45" s="28" t="e">
        <f t="shared" si="5"/>
        <v>#REF!</v>
      </c>
      <c r="L45" s="30" t="e">
        <f t="shared" si="8"/>
        <v>#REF!</v>
      </c>
      <c r="M45" s="27" t="e">
        <f t="shared" si="6"/>
        <v>#REF!</v>
      </c>
      <c r="N45" s="146" t="e">
        <f t="shared" si="4"/>
        <v>#REF!</v>
      </c>
      <c r="O45" s="28" t="e">
        <f t="shared" si="7"/>
        <v>#REF!</v>
      </c>
    </row>
    <row r="46" spans="1:15" ht="13.5" customHeight="1">
      <c r="A46" s="24">
        <v>210061</v>
      </c>
      <c r="B46" s="25" t="s">
        <v>158</v>
      </c>
      <c r="C46" s="29">
        <v>6916.1753791</v>
      </c>
      <c r="D46" s="26">
        <v>6237.8</v>
      </c>
      <c r="E46" s="28">
        <v>23687.27</v>
      </c>
      <c r="F46" s="28">
        <v>23802.09</v>
      </c>
      <c r="G46" s="30">
        <v>0.004847</v>
      </c>
      <c r="H46" s="28">
        <v>114.81219768999999</v>
      </c>
      <c r="I46" s="30">
        <v>0.011015</v>
      </c>
      <c r="J46" s="154" t="e">
        <f>#REF!</f>
        <v>#REF!</v>
      </c>
      <c r="K46" s="28" t="e">
        <f t="shared" si="5"/>
        <v>#REF!</v>
      </c>
      <c r="L46" s="30" t="e">
        <f t="shared" si="8"/>
        <v>#REF!</v>
      </c>
      <c r="M46" s="27" t="e">
        <f t="shared" si="6"/>
        <v>#REF!</v>
      </c>
      <c r="N46" s="146" t="e">
        <f t="shared" si="4"/>
        <v>#REF!</v>
      </c>
      <c r="O46" s="28" t="e">
        <f t="shared" si="7"/>
        <v>#REF!</v>
      </c>
    </row>
    <row r="47" spans="1:15" ht="13.5" customHeight="1">
      <c r="A47" s="24">
        <v>210062</v>
      </c>
      <c r="B47" s="25" t="s">
        <v>159</v>
      </c>
      <c r="C47" s="29">
        <v>21316.379977</v>
      </c>
      <c r="D47" s="26">
        <v>20037.41</v>
      </c>
      <c r="E47" s="28">
        <v>167991.98</v>
      </c>
      <c r="F47" s="28">
        <v>169400.36</v>
      </c>
      <c r="G47" s="30">
        <v>0.008384</v>
      </c>
      <c r="H47" s="28">
        <v>1408.4447603200001</v>
      </c>
      <c r="I47" s="30">
        <v>0.018646</v>
      </c>
      <c r="J47" s="154" t="e">
        <f>#REF!</f>
        <v>#REF!</v>
      </c>
      <c r="K47" s="28" t="e">
        <f t="shared" si="5"/>
        <v>#REF!</v>
      </c>
      <c r="L47" s="30" t="e">
        <f t="shared" si="8"/>
        <v>#REF!</v>
      </c>
      <c r="M47" s="27" t="e">
        <f t="shared" si="6"/>
        <v>#REF!</v>
      </c>
      <c r="N47" s="146" t="e">
        <f t="shared" si="4"/>
        <v>#REF!</v>
      </c>
      <c r="O47" s="28" t="e">
        <f t="shared" si="7"/>
        <v>#REF!</v>
      </c>
    </row>
    <row r="48" spans="1:15" ht="13.5" customHeight="1">
      <c r="A48" s="24">
        <v>210063</v>
      </c>
      <c r="B48" s="25" t="s">
        <v>188</v>
      </c>
      <c r="C48" s="29">
        <v>30414.496627</v>
      </c>
      <c r="D48" s="26">
        <v>29232.6</v>
      </c>
      <c r="E48" s="28">
        <v>118937.73</v>
      </c>
      <c r="F48" s="28">
        <v>119794.01</v>
      </c>
      <c r="G48" s="30">
        <v>0.007199</v>
      </c>
      <c r="H48" s="28">
        <v>856.23271827</v>
      </c>
      <c r="I48" s="30">
        <v>0.014452</v>
      </c>
      <c r="J48" s="154" t="e">
        <f>#REF!</f>
        <v>#REF!</v>
      </c>
      <c r="K48" s="28" t="e">
        <f t="shared" si="5"/>
        <v>#REF!</v>
      </c>
      <c r="L48" s="30" t="e">
        <f t="shared" si="8"/>
        <v>#REF!</v>
      </c>
      <c r="M48" s="27" t="e">
        <f t="shared" si="6"/>
        <v>#REF!</v>
      </c>
      <c r="N48" s="146" t="e">
        <f t="shared" si="4"/>
        <v>#REF!</v>
      </c>
      <c r="O48" s="28" t="e">
        <f t="shared" si="7"/>
        <v>#REF!</v>
      </c>
    </row>
    <row r="49" spans="1:15" ht="13.5" customHeight="1">
      <c r="A49" s="24">
        <v>210064</v>
      </c>
      <c r="B49" s="25" t="s">
        <v>189</v>
      </c>
      <c r="C49" s="29" t="s">
        <v>40</v>
      </c>
      <c r="D49" s="26">
        <v>1250.88</v>
      </c>
      <c r="E49" s="28">
        <v>21217.72</v>
      </c>
      <c r="F49" s="28">
        <v>21363.02</v>
      </c>
      <c r="G49" s="30">
        <v>0.006848</v>
      </c>
      <c r="H49" s="28">
        <v>145.29894656000002</v>
      </c>
      <c r="I49" s="30">
        <v>0.008734</v>
      </c>
      <c r="J49" s="154">
        <v>0</v>
      </c>
      <c r="K49" s="28">
        <f t="shared" si="5"/>
        <v>0</v>
      </c>
      <c r="L49" s="30">
        <f t="shared" si="8"/>
        <v>0.008734</v>
      </c>
      <c r="M49" s="27">
        <f t="shared" si="6"/>
        <v>185.31556648000003</v>
      </c>
      <c r="N49" s="146" t="e">
        <f t="shared" si="4"/>
        <v>#REF!</v>
      </c>
      <c r="O49" s="28" t="e">
        <f t="shared" si="7"/>
        <v>#REF!</v>
      </c>
    </row>
    <row r="50" spans="1:15" ht="13.5" customHeight="1">
      <c r="A50" s="24">
        <v>210065</v>
      </c>
      <c r="B50" s="25" t="s">
        <v>190</v>
      </c>
      <c r="C50" s="29" t="s">
        <v>40</v>
      </c>
      <c r="D50" s="26">
        <v>361.59</v>
      </c>
      <c r="E50" s="28">
        <v>3549.83</v>
      </c>
      <c r="F50" s="28">
        <v>3542.28</v>
      </c>
      <c r="G50" s="30">
        <v>-0.002127</v>
      </c>
      <c r="H50" s="28">
        <v>-7.55048841</v>
      </c>
      <c r="I50" s="30">
        <v>-0.005366</v>
      </c>
      <c r="J50" s="154" t="e">
        <f>#REF!</f>
        <v>#REF!</v>
      </c>
      <c r="K50" s="28" t="e">
        <f t="shared" si="5"/>
        <v>#REF!</v>
      </c>
      <c r="L50" s="30">
        <v>0</v>
      </c>
      <c r="M50" s="27">
        <f t="shared" si="6"/>
        <v>0</v>
      </c>
      <c r="N50" s="146">
        <v>0</v>
      </c>
      <c r="O50" s="28">
        <f t="shared" si="7"/>
        <v>0</v>
      </c>
    </row>
    <row r="51" spans="1:15" ht="13.5" customHeight="1">
      <c r="A51" s="124">
        <v>210087</v>
      </c>
      <c r="B51" s="125" t="s">
        <v>191</v>
      </c>
      <c r="C51" s="129" t="s">
        <v>40</v>
      </c>
      <c r="D51" s="126">
        <v>883.25</v>
      </c>
      <c r="E51" s="127">
        <v>16037.29</v>
      </c>
      <c r="F51" s="127">
        <v>16062.06</v>
      </c>
      <c r="G51" s="128">
        <v>0.001544</v>
      </c>
      <c r="H51" s="127">
        <v>24.761575760000003</v>
      </c>
      <c r="I51" s="128">
        <v>0.002108</v>
      </c>
      <c r="J51" s="155" t="e">
        <f>#REF!</f>
        <v>#REF!</v>
      </c>
      <c r="K51" s="127" t="e">
        <f t="shared" si="5"/>
        <v>#REF!</v>
      </c>
      <c r="L51" s="135" t="e">
        <f t="shared" si="8"/>
        <v>#REF!</v>
      </c>
      <c r="M51" s="137" t="e">
        <f t="shared" si="6"/>
        <v>#REF!</v>
      </c>
      <c r="N51" s="147" t="e">
        <f t="shared" si="4"/>
        <v>#REF!</v>
      </c>
      <c r="O51" s="136" t="e">
        <f t="shared" si="7"/>
        <v>#REF!</v>
      </c>
    </row>
    <row r="52" spans="1:15" ht="12.75">
      <c r="A52" s="148" t="s">
        <v>5</v>
      </c>
      <c r="B52" s="148"/>
      <c r="C52" s="148"/>
      <c r="D52" s="149">
        <f>SUM(D3:D51)</f>
        <v>1045009.8000000002</v>
      </c>
      <c r="E52" s="149">
        <f>SUM(E3:E51)</f>
        <v>5951740.030000001</v>
      </c>
      <c r="F52" s="149">
        <f>SUM(F3:F51)</f>
        <v>5992167.749999998</v>
      </c>
      <c r="G52" s="150">
        <f>F52/E52-1</f>
        <v>0.006792588351678619</v>
      </c>
      <c r="H52" s="151">
        <f>E52*G52</f>
        <v>40427.71999999736</v>
      </c>
      <c r="I52" s="150">
        <v>-0.005534539451314102</v>
      </c>
      <c r="J52" s="150" t="e">
        <f>#REF!</f>
        <v>#REF!</v>
      </c>
      <c r="K52" s="152" t="e">
        <f>SUM(K3:K51)</f>
        <v>#REF!</v>
      </c>
      <c r="L52" s="150" t="e">
        <f>M52/E52</f>
        <v>#REF!</v>
      </c>
      <c r="M52" s="149" t="e">
        <f>SUM(M4:M51)</f>
        <v>#REF!</v>
      </c>
      <c r="N52" s="153" t="e">
        <f>L52*L56</f>
        <v>#REF!</v>
      </c>
      <c r="O52" s="133" t="e">
        <f>SUM(O3:O51)</f>
        <v>#REF!</v>
      </c>
    </row>
    <row r="53" spans="5:8" ht="12.75">
      <c r="E53" s="2"/>
      <c r="F53" s="2"/>
      <c r="H53" s="27"/>
    </row>
    <row r="54" spans="1:15" ht="12.75">
      <c r="A54" t="s">
        <v>102</v>
      </c>
      <c r="G54" s="3">
        <v>0.0071</v>
      </c>
      <c r="I54" s="3">
        <v>0.006</v>
      </c>
      <c r="J54" s="142"/>
      <c r="K54" s="3"/>
      <c r="L54" s="3">
        <v>0.006</v>
      </c>
      <c r="N54" s="138"/>
      <c r="O54" s="132"/>
    </row>
    <row r="55" spans="1:15" ht="12.75">
      <c r="A55" t="s">
        <v>103</v>
      </c>
      <c r="G55" s="15"/>
      <c r="N55" s="139"/>
      <c r="O55" s="130"/>
    </row>
    <row r="56" spans="1:12" ht="12.75">
      <c r="A56" t="s">
        <v>105</v>
      </c>
      <c r="G56" s="131"/>
      <c r="I56" s="130"/>
      <c r="L56" s="130" t="e">
        <f>L54/L52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2" max="2" width="43.57421875" style="323" customWidth="1"/>
    <col min="3" max="3" width="7.421875" style="0" customWidth="1"/>
    <col min="4" max="4" width="16.7109375" style="0" customWidth="1"/>
    <col min="5" max="8" width="14.28125" style="0" customWidth="1"/>
    <col min="9" max="9" width="16.7109375" style="3" customWidth="1"/>
    <col min="11" max="11" width="9.140625" style="0" customWidth="1"/>
  </cols>
  <sheetData>
    <row r="2" ht="12.75">
      <c r="A2" s="1" t="s">
        <v>287</v>
      </c>
    </row>
    <row r="3" spans="1:9" ht="48">
      <c r="A3" s="143" t="s">
        <v>52</v>
      </c>
      <c r="B3" s="143" t="s">
        <v>283</v>
      </c>
      <c r="C3" s="143" t="s">
        <v>112</v>
      </c>
      <c r="D3" s="143" t="s">
        <v>284</v>
      </c>
      <c r="E3" s="143" t="s">
        <v>285</v>
      </c>
      <c r="F3" s="144" t="s">
        <v>290</v>
      </c>
      <c r="G3" s="143" t="str">
        <f>'4.HospitalSpecificGrowthModels'!L2</f>
        <v>CY 2014 All-Payer Percent PAU</v>
      </c>
      <c r="H3" s="143" t="str">
        <f>'4.HospitalSpecificGrowthModels'!M2</f>
        <v>2015 Age&amp; PAU Adjusted Growth</v>
      </c>
      <c r="I3" s="325" t="str">
        <f>'4.HospitalSpecificGrowthModels'!O2</f>
        <v>FY 2016 Demographic Adjustment</v>
      </c>
    </row>
    <row r="4" spans="1:9" ht="17.25" customHeight="1">
      <c r="A4" s="282">
        <v>210023</v>
      </c>
      <c r="B4" s="283" t="s">
        <v>138</v>
      </c>
      <c r="C4" s="283" t="s">
        <v>231</v>
      </c>
      <c r="D4" s="284">
        <v>543797173.47</v>
      </c>
      <c r="E4" s="281">
        <v>52746.33</v>
      </c>
      <c r="F4" s="285">
        <f>'4.HospitalSpecificGrowthModels'!K3</f>
        <v>0.018286</v>
      </c>
      <c r="G4" s="285">
        <f>'4.HospitalSpecificGrowthModels'!L3</f>
        <v>0.11030436755338027</v>
      </c>
      <c r="H4" s="285">
        <f>F4*(1-G4)</f>
        <v>0.01626897433491889</v>
      </c>
      <c r="I4" s="293">
        <f>H4*40.57%</f>
        <v>0.006600322887676593</v>
      </c>
    </row>
    <row r="5" spans="1:9" ht="17.25" customHeight="1">
      <c r="A5" s="282">
        <v>210061</v>
      </c>
      <c r="B5" s="283" t="s">
        <v>158</v>
      </c>
      <c r="C5" s="283" t="s">
        <v>231</v>
      </c>
      <c r="D5" s="284">
        <v>72714459.03</v>
      </c>
      <c r="E5" s="281">
        <v>7167.47</v>
      </c>
      <c r="F5" s="285">
        <f>'4.HospitalSpecificGrowthModels'!K4</f>
        <v>0.012915</v>
      </c>
      <c r="G5" s="285">
        <f>'4.HospitalSpecificGrowthModels'!L4</f>
        <v>0.12293071450402895</v>
      </c>
      <c r="H5" s="285">
        <f>F5*(1-G5)</f>
        <v>0.011327349822180467</v>
      </c>
      <c r="I5" s="293">
        <f>H5*40.57%</f>
        <v>0.004595505822858615</v>
      </c>
    </row>
    <row r="6" spans="1:9" ht="17.25" customHeight="1">
      <c r="A6" s="282">
        <v>210043</v>
      </c>
      <c r="B6" s="283" t="s">
        <v>148</v>
      </c>
      <c r="C6" s="283" t="s">
        <v>231</v>
      </c>
      <c r="D6" s="284">
        <v>390528654.96</v>
      </c>
      <c r="E6" s="281">
        <v>33845.75</v>
      </c>
      <c r="F6" s="285">
        <f>'4.HospitalSpecificGrowthModels'!K5</f>
        <v>0.022337</v>
      </c>
      <c r="G6" s="285">
        <f>'4.HospitalSpecificGrowthModels'!L5</f>
        <v>0.18818030320738283</v>
      </c>
      <c r="H6" s="285">
        <f>F6*(1-G6)</f>
        <v>0.01813361656725669</v>
      </c>
      <c r="I6" s="293">
        <f>H6*40.57%</f>
        <v>0.00735680824133604</v>
      </c>
    </row>
    <row r="7" spans="1:9" ht="17.25" customHeight="1">
      <c r="A7" s="282">
        <v>210013</v>
      </c>
      <c r="B7" s="283" t="s">
        <v>132</v>
      </c>
      <c r="C7" s="283" t="s">
        <v>231</v>
      </c>
      <c r="D7" s="284">
        <v>122169932.22</v>
      </c>
      <c r="E7" s="281">
        <v>6591.35</v>
      </c>
      <c r="F7" s="285">
        <f>'4.HospitalSpecificGrowthModels'!K6</f>
        <v>-2.5E-05</v>
      </c>
      <c r="G7" s="285">
        <f>'4.HospitalSpecificGrowthModels'!L6</f>
        <v>0.2511199657301085</v>
      </c>
      <c r="H7" s="285">
        <f>F7*(1-G7)</f>
        <v>-1.872200085674729E-05</v>
      </c>
      <c r="I7" s="293">
        <f>H7*40.57%</f>
        <v>-7.595515747582377E-06</v>
      </c>
    </row>
    <row r="8" spans="1:9" ht="17.25" customHeight="1">
      <c r="A8" s="282">
        <v>210333</v>
      </c>
      <c r="B8" s="283" t="s">
        <v>193</v>
      </c>
      <c r="C8" s="283" t="s">
        <v>231</v>
      </c>
      <c r="D8" s="284">
        <v>16836939.9</v>
      </c>
      <c r="E8" s="281">
        <v>1141.98</v>
      </c>
      <c r="F8" s="285">
        <f>'4.HospitalSpecificGrowthModels'!K7</f>
        <v>0.004628</v>
      </c>
      <c r="G8" s="285">
        <f>'4.HospitalSpecificGrowthModels'!L7</f>
        <v>0</v>
      </c>
      <c r="H8" s="285">
        <f>F8*(1-G8)</f>
        <v>0.004628</v>
      </c>
      <c r="I8" s="293">
        <f>H8*40.57%</f>
        <v>0.0018775796</v>
      </c>
    </row>
    <row r="9" spans="1:11" ht="17.25" customHeight="1">
      <c r="A9" s="282">
        <v>210039</v>
      </c>
      <c r="B9" s="283" t="s">
        <v>146</v>
      </c>
      <c r="C9" s="283" t="s">
        <v>292</v>
      </c>
      <c r="D9" s="284">
        <v>140183084.59</v>
      </c>
      <c r="E9" s="281">
        <v>10635.26</v>
      </c>
      <c r="F9" s="285"/>
      <c r="G9" s="285">
        <f>'4.HospitalSpecificGrowthModels'!L8</f>
        <v>0.11183351016106478</v>
      </c>
      <c r="H9" s="285"/>
      <c r="I9" s="293">
        <f>'4.HospitalSpecificGrowthModels'!O8</f>
        <v>0.0052</v>
      </c>
      <c r="K9" s="354"/>
    </row>
    <row r="10" spans="1:9" ht="17.25" customHeight="1">
      <c r="A10" s="282">
        <v>210033</v>
      </c>
      <c r="B10" s="283" t="s">
        <v>144</v>
      </c>
      <c r="C10" s="360" t="s">
        <v>292</v>
      </c>
      <c r="D10" s="284">
        <v>240506672.16</v>
      </c>
      <c r="E10" s="281">
        <v>18196.48</v>
      </c>
      <c r="F10" s="285"/>
      <c r="G10" s="285">
        <f>'4.HospitalSpecificGrowthModels'!L9</f>
        <v>0.167669578461561</v>
      </c>
      <c r="H10" s="285"/>
      <c r="I10" s="293">
        <f>'4.HospitalSpecificGrowthModels'!O9</f>
        <v>0.0051</v>
      </c>
    </row>
    <row r="11" spans="1:9" ht="17.25" customHeight="1">
      <c r="A11" s="282">
        <v>210035</v>
      </c>
      <c r="B11" s="283" t="s">
        <v>184</v>
      </c>
      <c r="C11" s="283" t="s">
        <v>231</v>
      </c>
      <c r="D11" s="284">
        <v>135835941.15</v>
      </c>
      <c r="E11" s="281">
        <v>11922.61</v>
      </c>
      <c r="F11" s="285">
        <f>'4.HospitalSpecificGrowthModels'!K10</f>
        <v>0.025305</v>
      </c>
      <c r="G11" s="285">
        <f>'4.HospitalSpecificGrowthModels'!L10</f>
        <v>0.18233246751116702</v>
      </c>
      <c r="H11" s="285">
        <f>F11*(1-G11)</f>
        <v>0.02069107690962992</v>
      </c>
      <c r="I11" s="293">
        <f>H11*40.57%</f>
        <v>0.008394369902236859</v>
      </c>
    </row>
    <row r="12" spans="1:9" ht="17.25" customHeight="1">
      <c r="A12" s="282">
        <v>210030</v>
      </c>
      <c r="B12" s="283" t="s">
        <v>183</v>
      </c>
      <c r="C12" s="360" t="s">
        <v>292</v>
      </c>
      <c r="D12" s="284">
        <v>62284210.29</v>
      </c>
      <c r="E12" s="281">
        <v>3794.93</v>
      </c>
      <c r="F12" s="285"/>
      <c r="G12" s="285">
        <f>'4.HospitalSpecificGrowthModels'!L11</f>
        <v>0.16804366831207165</v>
      </c>
      <c r="H12" s="285"/>
      <c r="I12" s="293">
        <f>'4.HospitalSpecificGrowthModels'!O11</f>
        <v>0.004</v>
      </c>
    </row>
    <row r="13" spans="1:9" ht="17.25" customHeight="1">
      <c r="A13" s="282">
        <v>210051</v>
      </c>
      <c r="B13" s="283" t="s">
        <v>153</v>
      </c>
      <c r="C13" s="283" t="s">
        <v>231</v>
      </c>
      <c r="D13" s="284">
        <v>206204360.19</v>
      </c>
      <c r="E13" s="281">
        <v>15900.18</v>
      </c>
      <c r="F13" s="285">
        <f>'4.HospitalSpecificGrowthModels'!K12</f>
        <v>0.027299</v>
      </c>
      <c r="G13" s="285">
        <f>'4.HospitalSpecificGrowthModels'!L12</f>
        <v>0.2036345477506393</v>
      </c>
      <c r="H13" s="285">
        <f>F13*(1-G13)</f>
        <v>0.0217399804809553</v>
      </c>
      <c r="I13" s="293">
        <f>H13*40.57%</f>
        <v>0.008819910081123565</v>
      </c>
    </row>
    <row r="14" spans="1:9" ht="17.25" customHeight="1">
      <c r="A14" s="282">
        <v>210010</v>
      </c>
      <c r="B14" s="283" t="s">
        <v>181</v>
      </c>
      <c r="C14" s="360" t="s">
        <v>292</v>
      </c>
      <c r="D14" s="284">
        <v>59166800.77</v>
      </c>
      <c r="E14" s="281">
        <v>3560.11</v>
      </c>
      <c r="F14" s="285"/>
      <c r="G14" s="285">
        <f>'4.HospitalSpecificGrowthModels'!L13</f>
        <v>0.2202126456036347</v>
      </c>
      <c r="H14" s="285"/>
      <c r="I14" s="293">
        <f>'4.HospitalSpecificGrowthModels'!O13</f>
        <v>0.0041</v>
      </c>
    </row>
    <row r="15" spans="1:9" ht="17.25" customHeight="1">
      <c r="A15" s="282">
        <v>210037</v>
      </c>
      <c r="B15" s="283" t="s">
        <v>185</v>
      </c>
      <c r="C15" s="360" t="s">
        <v>292</v>
      </c>
      <c r="D15" s="284">
        <v>178352220.07</v>
      </c>
      <c r="E15" s="281">
        <v>13746.95</v>
      </c>
      <c r="F15" s="285"/>
      <c r="G15" s="285">
        <f>'4.HospitalSpecificGrowthModels'!L14</f>
        <v>0.14519853106777078</v>
      </c>
      <c r="H15" s="285"/>
      <c r="I15" s="293">
        <f>'4.HospitalSpecificGrowthModels'!O14</f>
        <v>0.0041</v>
      </c>
    </row>
    <row r="16" spans="1:9" ht="17.25" customHeight="1">
      <c r="A16" s="282">
        <v>210015</v>
      </c>
      <c r="B16" s="283" t="s">
        <v>133</v>
      </c>
      <c r="C16" s="283" t="s">
        <v>231</v>
      </c>
      <c r="D16" s="284">
        <v>475139236.03</v>
      </c>
      <c r="E16" s="281">
        <v>40266.44</v>
      </c>
      <c r="F16" s="285">
        <f>'4.HospitalSpecificGrowthModels'!K15</f>
        <v>0.009687</v>
      </c>
      <c r="G16" s="285">
        <f>'4.HospitalSpecificGrowthModels'!L15</f>
        <v>0.18417362250654712</v>
      </c>
      <c r="H16" s="285">
        <f>F16*(1-G16)</f>
        <v>0.007902910118779078</v>
      </c>
      <c r="I16" s="293">
        <f>H16*40.57%</f>
        <v>0.0032062106351886718</v>
      </c>
    </row>
    <row r="17" spans="1:9" ht="17.25" customHeight="1">
      <c r="A17" s="282">
        <v>210005</v>
      </c>
      <c r="B17" s="283" t="s">
        <v>126</v>
      </c>
      <c r="C17" s="283" t="s">
        <v>231</v>
      </c>
      <c r="D17" s="284">
        <v>322491747.74</v>
      </c>
      <c r="E17" s="281">
        <v>29019.27</v>
      </c>
      <c r="F17" s="285">
        <f>'4.HospitalSpecificGrowthModels'!K16</f>
        <v>0.017085</v>
      </c>
      <c r="G17" s="285">
        <f>'4.HospitalSpecificGrowthModels'!L16</f>
        <v>0.14066258285797686</v>
      </c>
      <c r="H17" s="285">
        <f>F17*(1-G17)</f>
        <v>0.014681779771871465</v>
      </c>
      <c r="I17" s="293">
        <f>H17*40.57%</f>
        <v>0.0059563980534482535</v>
      </c>
    </row>
    <row r="18" spans="1:9" ht="17.25" customHeight="1">
      <c r="A18" s="282">
        <v>210060</v>
      </c>
      <c r="B18" s="283" t="s">
        <v>157</v>
      </c>
      <c r="C18" s="283" t="s">
        <v>231</v>
      </c>
      <c r="D18" s="284">
        <v>42133474.52</v>
      </c>
      <c r="E18" s="281">
        <v>3532.26</v>
      </c>
      <c r="F18" s="285">
        <f>'4.HospitalSpecificGrowthModels'!K17</f>
        <v>0.021891</v>
      </c>
      <c r="G18" s="285">
        <f>'4.HospitalSpecificGrowthModels'!L17</f>
        <v>0.1970844541210151</v>
      </c>
      <c r="H18" s="285">
        <f>F18*(1-G18)</f>
        <v>0.01757662421483686</v>
      </c>
      <c r="I18" s="293">
        <f>H18*40.57%</f>
        <v>0.0071308364439593135</v>
      </c>
    </row>
    <row r="19" spans="1:9" ht="17.25" customHeight="1">
      <c r="A19" s="282">
        <v>210044</v>
      </c>
      <c r="B19" s="283" t="s">
        <v>149</v>
      </c>
      <c r="C19" s="283" t="s">
        <v>231</v>
      </c>
      <c r="D19" s="284">
        <v>410930520.55</v>
      </c>
      <c r="E19" s="281">
        <v>34873.14</v>
      </c>
      <c r="F19" s="285">
        <f>'4.HospitalSpecificGrowthModels'!K18</f>
        <v>0.010773</v>
      </c>
      <c r="G19" s="285">
        <f>'4.HospitalSpecificGrowthModels'!L18</f>
        <v>0.10106142624936448</v>
      </c>
      <c r="H19" s="285">
        <f>F19*(1-G19)</f>
        <v>0.009684265255015595</v>
      </c>
      <c r="I19" s="293">
        <f>H19*40.57%</f>
        <v>0.003928906413959827</v>
      </c>
    </row>
    <row r="20" spans="1:9" ht="17.25" customHeight="1">
      <c r="A20" s="282">
        <v>210017</v>
      </c>
      <c r="B20" s="283" t="s">
        <v>135</v>
      </c>
      <c r="C20" s="360" t="s">
        <v>292</v>
      </c>
      <c r="D20" s="284">
        <v>34822569.99</v>
      </c>
      <c r="E20" s="281">
        <v>3313.61</v>
      </c>
      <c r="F20" s="285"/>
      <c r="G20" s="285">
        <f>'4.HospitalSpecificGrowthModels'!L19</f>
        <v>0.10478390985750467</v>
      </c>
      <c r="H20" s="285"/>
      <c r="I20" s="293">
        <f>'4.HospitalSpecificGrowthModels'!O19</f>
        <v>0.0027</v>
      </c>
    </row>
    <row r="21" spans="1:9" ht="17.25" customHeight="1">
      <c r="A21" s="282">
        <v>210087</v>
      </c>
      <c r="B21" s="283" t="s">
        <v>191</v>
      </c>
      <c r="C21" s="283" t="s">
        <v>231</v>
      </c>
      <c r="D21" s="284">
        <v>13606021.14</v>
      </c>
      <c r="E21" s="281">
        <v>1271.71</v>
      </c>
      <c r="F21" s="285">
        <f>'4.HospitalSpecificGrowthModels'!K20</f>
        <v>0.004849</v>
      </c>
      <c r="G21" s="285">
        <f>'4.HospitalSpecificGrowthModels'!L20</f>
        <v>0</v>
      </c>
      <c r="H21" s="285">
        <f>F21*(1-G21)</f>
        <v>0.004849</v>
      </c>
      <c r="I21" s="293">
        <f>H21*40.57%</f>
        <v>0.0019672393</v>
      </c>
    </row>
    <row r="22" spans="1:9" ht="17.25" customHeight="1">
      <c r="A22" s="282">
        <v>210056</v>
      </c>
      <c r="B22" s="283" t="s">
        <v>155</v>
      </c>
      <c r="C22" s="283" t="s">
        <v>231</v>
      </c>
      <c r="D22" s="284">
        <v>297433385.13</v>
      </c>
      <c r="E22" s="281">
        <v>23665.32</v>
      </c>
      <c r="F22" s="285">
        <f>'4.HospitalSpecificGrowthModels'!K21</f>
        <v>0.01053</v>
      </c>
      <c r="G22" s="285">
        <f>'4.HospitalSpecificGrowthModels'!L21</f>
        <v>0.18038021887489117</v>
      </c>
      <c r="H22" s="285">
        <f>F22*(1-G22)</f>
        <v>0.008630596295247395</v>
      </c>
      <c r="I22" s="293">
        <f>H22*40.57%</f>
        <v>0.003501432916981868</v>
      </c>
    </row>
    <row r="23" spans="1:9" ht="17.25" customHeight="1">
      <c r="A23" s="282">
        <v>210034</v>
      </c>
      <c r="B23" s="283" t="s">
        <v>145</v>
      </c>
      <c r="C23" s="283" t="s">
        <v>231</v>
      </c>
      <c r="D23" s="284">
        <v>204541922.74</v>
      </c>
      <c r="E23" s="281">
        <v>14446.21</v>
      </c>
      <c r="F23" s="285">
        <f>'4.HospitalSpecificGrowthModels'!K22</f>
        <v>0.007121</v>
      </c>
      <c r="G23" s="285">
        <f>'4.HospitalSpecificGrowthModels'!L22</f>
        <v>0.1589404109902475</v>
      </c>
      <c r="H23" s="285">
        <f>F23*(1-G23)</f>
        <v>0.005989185333338447</v>
      </c>
      <c r="I23" s="293">
        <f>H23*40.57%</f>
        <v>0.002429812489735408</v>
      </c>
    </row>
    <row r="24" spans="1:9" ht="17.25" customHeight="1">
      <c r="A24" s="282">
        <v>210006</v>
      </c>
      <c r="B24" s="283" t="s">
        <v>127</v>
      </c>
      <c r="C24" s="283" t="s">
        <v>231</v>
      </c>
      <c r="D24" s="284">
        <v>100908314.76</v>
      </c>
      <c r="E24" s="281">
        <v>7911.55</v>
      </c>
      <c r="F24" s="285">
        <f>'4.HospitalSpecificGrowthModels'!K23</f>
        <v>0.008994</v>
      </c>
      <c r="G24" s="285">
        <f>'4.HospitalSpecificGrowthModels'!L23</f>
        <v>0.1932876209741635</v>
      </c>
      <c r="H24" s="285">
        <f>F24*(1-G24)</f>
        <v>0.007255571136958373</v>
      </c>
      <c r="I24" s="293">
        <f>H24*40.57%</f>
        <v>0.0029435852102640122</v>
      </c>
    </row>
    <row r="25" spans="1:9" ht="17.25" customHeight="1">
      <c r="A25" s="282">
        <v>210004</v>
      </c>
      <c r="B25" s="283" t="s">
        <v>125</v>
      </c>
      <c r="C25" s="283" t="s">
        <v>231</v>
      </c>
      <c r="D25" s="284">
        <v>427863835.57</v>
      </c>
      <c r="E25" s="281">
        <v>38337.05</v>
      </c>
      <c r="F25" s="285">
        <f>'4.HospitalSpecificGrowthModels'!K24</f>
        <v>0.011622</v>
      </c>
      <c r="G25" s="285">
        <f>'4.HospitalSpecificGrowthModels'!L24</f>
        <v>0.14817792581363728</v>
      </c>
      <c r="H25" s="285">
        <f>F25*(1-G25)</f>
        <v>0.009899876146193908</v>
      </c>
      <c r="I25" s="293">
        <f>H25*40.57%</f>
        <v>0.004016379752510868</v>
      </c>
    </row>
    <row r="26" spans="1:9" ht="17.25" customHeight="1">
      <c r="A26" s="282">
        <v>210065</v>
      </c>
      <c r="B26" s="283" t="s">
        <v>190</v>
      </c>
      <c r="C26" s="283" t="s">
        <v>286</v>
      </c>
      <c r="D26" s="284">
        <v>10615784.62</v>
      </c>
      <c r="E26" s="281">
        <v>921.43</v>
      </c>
      <c r="F26" s="285">
        <f>'4.HospitalSpecificGrowthModels'!K25</f>
        <v>0.013705</v>
      </c>
      <c r="G26" s="285">
        <f>'4.HospitalSpecificGrowthModels'!L25</f>
        <v>0</v>
      </c>
      <c r="H26" s="285">
        <f>'4.HospitalSpecificGrowthModels'!M25</f>
        <v>0.013705</v>
      </c>
      <c r="I26" s="293">
        <v>0</v>
      </c>
    </row>
    <row r="27" spans="1:9" ht="17.25" customHeight="1">
      <c r="A27" s="282">
        <v>210029</v>
      </c>
      <c r="B27" s="283" t="s">
        <v>142</v>
      </c>
      <c r="C27" s="283" t="s">
        <v>231</v>
      </c>
      <c r="D27" s="284">
        <v>511994860.12</v>
      </c>
      <c r="E27" s="281">
        <v>38485.23</v>
      </c>
      <c r="F27" s="285">
        <f>'4.HospitalSpecificGrowthModels'!K26</f>
        <v>0.008129</v>
      </c>
      <c r="G27" s="285">
        <f>'4.HospitalSpecificGrowthModels'!L26</f>
        <v>0.1436664508961357</v>
      </c>
      <c r="H27" s="285">
        <f>F27*(1-G27)</f>
        <v>0.006961135420665314</v>
      </c>
      <c r="I27" s="293">
        <f>H27*40.57%</f>
        <v>0.0028241326401639176</v>
      </c>
    </row>
    <row r="28" spans="1:9" ht="17.25" customHeight="1">
      <c r="A28" s="282">
        <v>210048</v>
      </c>
      <c r="B28" s="283" t="s">
        <v>151</v>
      </c>
      <c r="C28" s="283" t="s">
        <v>231</v>
      </c>
      <c r="D28" s="284">
        <v>275364088.62</v>
      </c>
      <c r="E28" s="281">
        <v>25194.35</v>
      </c>
      <c r="F28" s="285">
        <f>'4.HospitalSpecificGrowthModels'!K27</f>
        <v>0.020021</v>
      </c>
      <c r="G28" s="285">
        <f>'4.HospitalSpecificGrowthModels'!L27</f>
        <v>0.15435223459649602</v>
      </c>
      <c r="H28" s="285">
        <f>F28*(1-G28)</f>
        <v>0.016930713911143553</v>
      </c>
      <c r="I28" s="293">
        <f>H28*40.57%</f>
        <v>0.006868790633750939</v>
      </c>
    </row>
    <row r="29" spans="1:9" ht="17.25" customHeight="1">
      <c r="A29" s="282">
        <v>210009</v>
      </c>
      <c r="B29" s="283" t="s">
        <v>129</v>
      </c>
      <c r="C29" s="283" t="s">
        <v>231</v>
      </c>
      <c r="D29" s="284">
        <v>1615165148.19</v>
      </c>
      <c r="E29" s="281">
        <v>98282.68</v>
      </c>
      <c r="F29" s="285">
        <f>'4.HospitalSpecificGrowthModels'!K28</f>
        <v>0.0084</v>
      </c>
      <c r="G29" s="285">
        <f>'4.HospitalSpecificGrowthModels'!L28</f>
        <v>0.1008330038427111</v>
      </c>
      <c r="H29" s="285">
        <f>F29*(1-G29)</f>
        <v>0.0075530027677212265</v>
      </c>
      <c r="I29" s="293">
        <f>H29*40.57%</f>
        <v>0.0030642532228645014</v>
      </c>
    </row>
    <row r="30" spans="1:9" ht="17.25" customHeight="1">
      <c r="A30" s="282">
        <v>210055</v>
      </c>
      <c r="B30" s="283" t="s">
        <v>154</v>
      </c>
      <c r="C30" s="283" t="s">
        <v>231</v>
      </c>
      <c r="D30" s="284">
        <v>94173892.74</v>
      </c>
      <c r="E30" s="281">
        <v>7571.86</v>
      </c>
      <c r="F30" s="285">
        <f>'4.HospitalSpecificGrowthModels'!K29</f>
        <v>0.015933</v>
      </c>
      <c r="G30" s="285">
        <f>'4.HospitalSpecificGrowthModels'!L29</f>
        <v>0.1625762098227529</v>
      </c>
      <c r="H30" s="285">
        <f>F30*(1-G30)</f>
        <v>0.013342673248894078</v>
      </c>
      <c r="I30" s="293">
        <f>H30*40.57%</f>
        <v>0.005413122537076327</v>
      </c>
    </row>
    <row r="31" spans="1:9" ht="17.25" customHeight="1">
      <c r="A31" s="282">
        <v>210064</v>
      </c>
      <c r="B31" s="283" t="s">
        <v>189</v>
      </c>
      <c r="C31" s="283" t="s">
        <v>231</v>
      </c>
      <c r="D31" s="284">
        <v>1714493.3</v>
      </c>
      <c r="E31" s="281">
        <v>17.01</v>
      </c>
      <c r="F31" s="285">
        <f>'4.HospitalSpecificGrowthModels'!K30</f>
        <v>0.043928</v>
      </c>
      <c r="G31" s="285">
        <f>'4.HospitalSpecificGrowthModels'!L30</f>
        <v>0</v>
      </c>
      <c r="H31" s="285">
        <f>F31*(1-G31)</f>
        <v>0.043928</v>
      </c>
      <c r="I31" s="293">
        <f>H31*40.57%</f>
        <v>0.0178215896</v>
      </c>
    </row>
    <row r="32" spans="1:9" ht="17.25" customHeight="1">
      <c r="A32" s="282">
        <v>210045</v>
      </c>
      <c r="B32" s="283" t="s">
        <v>150</v>
      </c>
      <c r="C32" s="360" t="s">
        <v>292</v>
      </c>
      <c r="D32" s="284">
        <v>14571982.85</v>
      </c>
      <c r="E32" s="281">
        <v>964.83</v>
      </c>
      <c r="F32" s="285"/>
      <c r="G32" s="285">
        <f>'4.HospitalSpecificGrowthModels'!L31</f>
        <v>0.11714325915544926</v>
      </c>
      <c r="H32" s="285"/>
      <c r="I32" s="293">
        <f>'4.HospitalSpecificGrowthModels'!O31</f>
        <v>0</v>
      </c>
    </row>
    <row r="33" spans="1:9" ht="17.25" customHeight="1">
      <c r="A33" s="282">
        <v>210008</v>
      </c>
      <c r="B33" s="283" t="s">
        <v>128</v>
      </c>
      <c r="C33" s="283" t="s">
        <v>231</v>
      </c>
      <c r="D33" s="284">
        <v>456836084.63</v>
      </c>
      <c r="E33" s="281">
        <v>37779.27</v>
      </c>
      <c r="F33" s="285">
        <f>'4.HospitalSpecificGrowthModels'!K32</f>
        <v>0.010482</v>
      </c>
      <c r="G33" s="285">
        <f>'4.HospitalSpecificGrowthModels'!L32</f>
        <v>0.08664606334013292</v>
      </c>
      <c r="H33" s="285">
        <f>F33*(1-G33)</f>
        <v>0.009573775964068727</v>
      </c>
      <c r="I33" s="293">
        <f>H33*40.57%</f>
        <v>0.0038840809086226826</v>
      </c>
    </row>
    <row r="34" spans="1:9" ht="17.25" customHeight="1">
      <c r="A34" s="282">
        <v>210001</v>
      </c>
      <c r="B34" s="283" t="s">
        <v>121</v>
      </c>
      <c r="C34" s="360" t="s">
        <v>292</v>
      </c>
      <c r="D34" s="284">
        <v>251887059.75</v>
      </c>
      <c r="E34" s="281">
        <v>21768.5</v>
      </c>
      <c r="F34" s="285"/>
      <c r="G34" s="285">
        <f>'4.HospitalSpecificGrowthModels'!L33</f>
        <v>0.15643529688943522</v>
      </c>
      <c r="H34" s="285"/>
      <c r="I34" s="293">
        <f>'4.HospitalSpecificGrowthModels'!O33</f>
        <v>0.0051</v>
      </c>
    </row>
    <row r="35" spans="1:9" ht="17.25" customHeight="1">
      <c r="A35" s="282">
        <v>210018</v>
      </c>
      <c r="B35" s="283" t="s">
        <v>136</v>
      </c>
      <c r="C35" s="283" t="s">
        <v>231</v>
      </c>
      <c r="D35" s="284">
        <v>165628911.59</v>
      </c>
      <c r="E35" s="281">
        <v>14226.25</v>
      </c>
      <c r="F35" s="285">
        <f>'4.HospitalSpecificGrowthModels'!K34</f>
        <v>0.019484</v>
      </c>
      <c r="G35" s="285">
        <f>'4.HospitalSpecificGrowthModels'!L34</f>
        <v>0.14704735754828016</v>
      </c>
      <c r="H35" s="285">
        <f aca="true" t="shared" si="0" ref="H35:H48">F35*(1-G35)</f>
        <v>0.01661892928552931</v>
      </c>
      <c r="I35" s="293">
        <f aca="true" t="shared" si="1" ref="I35:I48">H35*40.57%</f>
        <v>0.006742299611139241</v>
      </c>
    </row>
    <row r="36" spans="1:9" ht="17.25" customHeight="1">
      <c r="A36" s="282">
        <v>210040</v>
      </c>
      <c r="B36" s="283" t="s">
        <v>147</v>
      </c>
      <c r="C36" s="283" t="s">
        <v>231</v>
      </c>
      <c r="D36" s="284">
        <v>241946458.95</v>
      </c>
      <c r="E36" s="281">
        <v>18309</v>
      </c>
      <c r="F36" s="285">
        <f>'4.HospitalSpecificGrowthModels'!K35</f>
        <v>0.014047</v>
      </c>
      <c r="G36" s="285">
        <f>'4.HospitalSpecificGrowthModels'!L35</f>
        <v>0.19766836499119697</v>
      </c>
      <c r="H36" s="285">
        <f t="shared" si="0"/>
        <v>0.011270352476968656</v>
      </c>
      <c r="I36" s="293">
        <f t="shared" si="1"/>
        <v>0.004572381999906184</v>
      </c>
    </row>
    <row r="37" spans="1:9" ht="17.25" customHeight="1">
      <c r="A37" s="282">
        <v>210019</v>
      </c>
      <c r="B37" s="283" t="s">
        <v>182</v>
      </c>
      <c r="C37" s="283" t="s">
        <v>231</v>
      </c>
      <c r="D37" s="284">
        <v>327643408.1</v>
      </c>
      <c r="E37" s="281">
        <v>28542.71</v>
      </c>
      <c r="F37" s="285">
        <f>'4.HospitalSpecificGrowthModels'!K36</f>
        <v>0.005097</v>
      </c>
      <c r="G37" s="285">
        <f>'4.HospitalSpecificGrowthModels'!L36</f>
        <v>0.14331440642858692</v>
      </c>
      <c r="H37" s="285">
        <f t="shared" si="0"/>
        <v>0.004366526470433492</v>
      </c>
      <c r="I37" s="293">
        <f t="shared" si="1"/>
        <v>0.0017714997890548678</v>
      </c>
    </row>
    <row r="38" spans="1:9" ht="17.25" customHeight="1">
      <c r="A38" s="282">
        <v>210003</v>
      </c>
      <c r="B38" s="283" t="s">
        <v>124</v>
      </c>
      <c r="C38" s="283" t="s">
        <v>231</v>
      </c>
      <c r="D38" s="284">
        <v>233755765.75</v>
      </c>
      <c r="E38" s="281">
        <v>15468.88</v>
      </c>
      <c r="F38" s="285">
        <f>'4.HospitalSpecificGrowthModels'!K37</f>
        <v>0.012338</v>
      </c>
      <c r="G38" s="285">
        <f>'4.HospitalSpecificGrowthModels'!L37</f>
        <v>0.15247025737191383</v>
      </c>
      <c r="H38" s="285">
        <f t="shared" si="0"/>
        <v>0.010456821964545327</v>
      </c>
      <c r="I38" s="293">
        <f t="shared" si="1"/>
        <v>0.004242332671016039</v>
      </c>
    </row>
    <row r="39" spans="1:9" ht="17.25" customHeight="1">
      <c r="A39" s="282">
        <v>210088</v>
      </c>
      <c r="B39" s="283" t="s">
        <v>192</v>
      </c>
      <c r="C39" s="283" t="s">
        <v>231</v>
      </c>
      <c r="D39" s="284">
        <v>4679081.44</v>
      </c>
      <c r="E39" s="281">
        <v>555.77</v>
      </c>
      <c r="F39" s="285">
        <f>'4.HospitalSpecificGrowthModels'!K38</f>
        <v>-0.002194</v>
      </c>
      <c r="G39" s="285">
        <f>'4.HospitalSpecificGrowthModels'!L38</f>
        <v>0</v>
      </c>
      <c r="H39" s="285">
        <f t="shared" si="0"/>
        <v>-0.002194</v>
      </c>
      <c r="I39" s="293">
        <v>0</v>
      </c>
    </row>
    <row r="40" spans="1:9" ht="17.25" customHeight="1">
      <c r="A40" s="282">
        <v>210058</v>
      </c>
      <c r="B40" s="283" t="s">
        <v>187</v>
      </c>
      <c r="C40" s="283" t="s">
        <v>231</v>
      </c>
      <c r="D40" s="284">
        <v>92380302.07</v>
      </c>
      <c r="E40" s="281">
        <v>6852.21</v>
      </c>
      <c r="F40" s="285">
        <f>'4.HospitalSpecificGrowthModels'!K39</f>
        <v>0.011689</v>
      </c>
      <c r="G40" s="285">
        <f>'4.HospitalSpecificGrowthModels'!L39</f>
        <v>0.07575551244533765</v>
      </c>
      <c r="H40" s="285">
        <f t="shared" si="0"/>
        <v>0.010803493815026448</v>
      </c>
      <c r="I40" s="293">
        <f t="shared" si="1"/>
        <v>0.00438297744075623</v>
      </c>
    </row>
    <row r="41" spans="1:9" ht="17.25" customHeight="1">
      <c r="A41" s="282">
        <v>210057</v>
      </c>
      <c r="B41" s="283" t="s">
        <v>156</v>
      </c>
      <c r="C41" s="283" t="s">
        <v>231</v>
      </c>
      <c r="D41" s="284">
        <v>367696002.71</v>
      </c>
      <c r="E41" s="281">
        <v>31045.81</v>
      </c>
      <c r="F41" s="285">
        <f>'4.HospitalSpecificGrowthModels'!K40</f>
        <v>0.014348</v>
      </c>
      <c r="G41" s="285">
        <f>'4.HospitalSpecificGrowthModels'!L40</f>
        <v>0.1259240189532369</v>
      </c>
      <c r="H41" s="285">
        <f t="shared" si="0"/>
        <v>0.012541242176058957</v>
      </c>
      <c r="I41" s="293">
        <f t="shared" si="1"/>
        <v>0.0050879819508271185</v>
      </c>
    </row>
    <row r="42" spans="1:9" ht="17.25" customHeight="1">
      <c r="A42" s="282">
        <v>210012</v>
      </c>
      <c r="B42" s="283" t="s">
        <v>131</v>
      </c>
      <c r="C42" s="283" t="s">
        <v>231</v>
      </c>
      <c r="D42" s="284">
        <v>668535009.53</v>
      </c>
      <c r="E42" s="281">
        <v>46513.57</v>
      </c>
      <c r="F42" s="285">
        <f>'4.HospitalSpecificGrowthModels'!K41</f>
        <v>0.009802</v>
      </c>
      <c r="G42" s="285">
        <f>'4.HospitalSpecificGrowthModels'!L41</f>
        <v>0.11832019897946988</v>
      </c>
      <c r="H42" s="285">
        <f t="shared" si="0"/>
        <v>0.008642225409603237</v>
      </c>
      <c r="I42" s="293">
        <f t="shared" si="1"/>
        <v>0.003506150848676033</v>
      </c>
    </row>
    <row r="43" spans="1:9" ht="17.25" customHeight="1">
      <c r="A43" s="282">
        <v>210062</v>
      </c>
      <c r="B43" s="283" t="s">
        <v>159</v>
      </c>
      <c r="C43" s="283" t="s">
        <v>231</v>
      </c>
      <c r="D43" s="284">
        <v>241859798.73</v>
      </c>
      <c r="E43" s="281">
        <v>17324.96</v>
      </c>
      <c r="F43" s="285">
        <f>'4.HospitalSpecificGrowthModels'!K42</f>
        <v>0.028321</v>
      </c>
      <c r="G43" s="285">
        <f>'4.HospitalSpecificGrowthModels'!L42</f>
        <v>0.20762131923532895</v>
      </c>
      <c r="H43" s="285">
        <f t="shared" si="0"/>
        <v>0.02244095661793625</v>
      </c>
      <c r="I43" s="293">
        <f t="shared" si="1"/>
        <v>0.009104296099896736</v>
      </c>
    </row>
    <row r="44" spans="1:9" ht="17.25" customHeight="1">
      <c r="A44" s="282">
        <v>210011</v>
      </c>
      <c r="B44" s="283" t="s">
        <v>130</v>
      </c>
      <c r="C44" s="283" t="s">
        <v>231</v>
      </c>
      <c r="D44" s="284">
        <v>404364463.69</v>
      </c>
      <c r="E44" s="281">
        <v>33081.08</v>
      </c>
      <c r="F44" s="285">
        <f>'4.HospitalSpecificGrowthModels'!K43</f>
        <v>0.011763</v>
      </c>
      <c r="G44" s="285">
        <f>'4.HospitalSpecificGrowthModels'!L43</f>
        <v>0.17363775695991135</v>
      </c>
      <c r="H44" s="285">
        <f t="shared" si="0"/>
        <v>0.009720499064880561</v>
      </c>
      <c r="I44" s="293">
        <f t="shared" si="1"/>
        <v>0.003943606470622044</v>
      </c>
    </row>
    <row r="45" spans="1:9" ht="17.25" customHeight="1">
      <c r="A45" s="282">
        <v>210028</v>
      </c>
      <c r="B45" s="283" t="s">
        <v>141</v>
      </c>
      <c r="C45" s="283" t="s">
        <v>231</v>
      </c>
      <c r="D45" s="284">
        <v>156806479.04</v>
      </c>
      <c r="E45" s="281">
        <v>14455.41</v>
      </c>
      <c r="F45" s="285">
        <f>'4.HospitalSpecificGrowthModels'!K44</f>
        <v>0.013855</v>
      </c>
      <c r="G45" s="285">
        <f>'4.HospitalSpecificGrowthModels'!L44</f>
        <v>0.12748454480561217</v>
      </c>
      <c r="H45" s="285">
        <f t="shared" si="0"/>
        <v>0.012088701631718244</v>
      </c>
      <c r="I45" s="293">
        <f t="shared" si="1"/>
        <v>0.004904386251988092</v>
      </c>
    </row>
    <row r="46" spans="1:9" ht="17.25" customHeight="1">
      <c r="A46" s="282">
        <v>210022</v>
      </c>
      <c r="B46" s="283" t="s">
        <v>137</v>
      </c>
      <c r="C46" s="283" t="s">
        <v>231</v>
      </c>
      <c r="D46" s="284">
        <v>256689920.64</v>
      </c>
      <c r="E46" s="281">
        <v>22941.26</v>
      </c>
      <c r="F46" s="285">
        <f>'4.HospitalSpecificGrowthModels'!K45</f>
        <v>0.02141</v>
      </c>
      <c r="G46" s="285">
        <f>'4.HospitalSpecificGrowthModels'!L45</f>
        <v>0.14148437649311346</v>
      </c>
      <c r="H46" s="285">
        <f t="shared" si="0"/>
        <v>0.018380819499282438</v>
      </c>
      <c r="I46" s="293">
        <f t="shared" si="1"/>
        <v>0.007457098470858885</v>
      </c>
    </row>
    <row r="47" spans="1:9" ht="17.25" customHeight="1">
      <c r="A47" s="282">
        <v>210063</v>
      </c>
      <c r="B47" s="283" t="s">
        <v>188</v>
      </c>
      <c r="C47" s="283" t="s">
        <v>231</v>
      </c>
      <c r="D47" s="284">
        <v>337770759.06</v>
      </c>
      <c r="E47" s="281">
        <v>33513.32</v>
      </c>
      <c r="F47" s="285">
        <f>'4.HospitalSpecificGrowthModels'!K46</f>
        <v>0.01486</v>
      </c>
      <c r="G47" s="285">
        <f>'4.HospitalSpecificGrowthModels'!L46</f>
        <v>0.10833985580512293</v>
      </c>
      <c r="H47" s="285">
        <f t="shared" si="0"/>
        <v>0.013250069742735873</v>
      </c>
      <c r="I47" s="293">
        <f t="shared" si="1"/>
        <v>0.0053755532946279435</v>
      </c>
    </row>
    <row r="48" spans="1:9" ht="17.25" customHeight="1">
      <c r="A48" s="282">
        <v>210038</v>
      </c>
      <c r="B48" s="283" t="s">
        <v>186</v>
      </c>
      <c r="C48" s="283" t="s">
        <v>231</v>
      </c>
      <c r="D48" s="284">
        <v>190215882.67</v>
      </c>
      <c r="E48" s="281">
        <v>11555.47</v>
      </c>
      <c r="F48" s="285">
        <f>'4.HospitalSpecificGrowthModels'!K47</f>
        <v>0.004523</v>
      </c>
      <c r="G48" s="285">
        <f>'4.HospitalSpecificGrowthModels'!L47</f>
        <v>0.18706924978432302</v>
      </c>
      <c r="H48" s="285">
        <f t="shared" si="0"/>
        <v>0.003676885783225507</v>
      </c>
      <c r="I48" s="293">
        <f t="shared" si="1"/>
        <v>0.0014917125622545882</v>
      </c>
    </row>
    <row r="49" spans="1:9" ht="17.25" customHeight="1">
      <c r="A49" s="282">
        <v>210032</v>
      </c>
      <c r="B49" s="283" t="s">
        <v>143</v>
      </c>
      <c r="C49" s="360" t="s">
        <v>292</v>
      </c>
      <c r="D49" s="284">
        <v>143582954.13</v>
      </c>
      <c r="E49" s="281">
        <v>9519.87</v>
      </c>
      <c r="F49" s="285"/>
      <c r="G49" s="285">
        <f>'4.HospitalSpecificGrowthModels'!L48</f>
        <v>0.13185408994568462</v>
      </c>
      <c r="H49" s="285"/>
      <c r="I49" s="293">
        <f>'4.HospitalSpecificGrowthModels'!O48</f>
        <v>0.0059</v>
      </c>
    </row>
    <row r="50" spans="1:9" ht="17.25" customHeight="1">
      <c r="A50" s="282">
        <v>210024</v>
      </c>
      <c r="B50" s="283" t="s">
        <v>139</v>
      </c>
      <c r="C50" s="283" t="s">
        <v>231</v>
      </c>
      <c r="D50" s="284">
        <v>402323651.13</v>
      </c>
      <c r="E50" s="281">
        <v>30915.46</v>
      </c>
      <c r="F50" s="285">
        <f>'4.HospitalSpecificGrowthModels'!K49</f>
        <v>0.012594</v>
      </c>
      <c r="G50" s="285">
        <f>'4.HospitalSpecificGrowthModels'!L49</f>
        <v>0.14632487478692974</v>
      </c>
      <c r="H50" s="285">
        <f>F50*(1-G50)</f>
        <v>0.010751184526933407</v>
      </c>
      <c r="I50" s="293">
        <f>H50*40.57%</f>
        <v>0.004361755562576884</v>
      </c>
    </row>
    <row r="51" spans="1:9" ht="17.25" customHeight="1">
      <c r="A51" s="282">
        <v>210002</v>
      </c>
      <c r="B51" s="283" t="s">
        <v>123</v>
      </c>
      <c r="C51" s="283" t="s">
        <v>231</v>
      </c>
      <c r="D51" s="284">
        <v>1361499881.71</v>
      </c>
      <c r="E51" s="281">
        <v>73051.13</v>
      </c>
      <c r="F51" s="285">
        <f>'4.HospitalSpecificGrowthModels'!K50</f>
        <v>0.009929</v>
      </c>
      <c r="G51" s="285">
        <f>'4.HospitalSpecificGrowthModels'!L50</f>
        <v>0.0997160398263239</v>
      </c>
      <c r="H51" s="285">
        <f>F51*(1-G51)</f>
        <v>0.00893891944056443</v>
      </c>
      <c r="I51" s="293">
        <f>H51*40.57%</f>
        <v>0.0036265196170369896</v>
      </c>
    </row>
    <row r="52" spans="1:9" ht="17.25" customHeight="1">
      <c r="A52" s="282">
        <v>210049</v>
      </c>
      <c r="B52" s="283" t="s">
        <v>152</v>
      </c>
      <c r="C52" s="283" t="s">
        <v>231</v>
      </c>
      <c r="D52" s="284">
        <v>303080313.16</v>
      </c>
      <c r="E52" s="281">
        <v>25847.22</v>
      </c>
      <c r="F52" s="285">
        <f>'4.HospitalSpecificGrowthModels'!K51</f>
        <v>0.015251</v>
      </c>
      <c r="G52" s="285">
        <f>'4.HospitalSpecificGrowthModels'!L51</f>
        <v>0.13983457732025428</v>
      </c>
      <c r="H52" s="285">
        <f>F52*(1-G52)</f>
        <v>0.013118382861288802</v>
      </c>
      <c r="I52" s="293">
        <f>H52*40.57%</f>
        <v>0.005322127926824867</v>
      </c>
    </row>
    <row r="53" spans="1:9" ht="17.25" customHeight="1">
      <c r="A53" s="282">
        <v>210016</v>
      </c>
      <c r="B53" s="283" t="s">
        <v>134</v>
      </c>
      <c r="C53" s="283" t="s">
        <v>231</v>
      </c>
      <c r="D53" s="284">
        <v>235772379.92</v>
      </c>
      <c r="E53" s="281">
        <v>16860.18</v>
      </c>
      <c r="F53" s="285">
        <f>'4.HospitalSpecificGrowthModels'!K52</f>
        <v>0.016655</v>
      </c>
      <c r="G53" s="285">
        <f>'4.HospitalSpecificGrowthModels'!L52</f>
        <v>0.16473893543287046</v>
      </c>
      <c r="H53" s="285">
        <f>F53*(1-G53)</f>
        <v>0.013911273030365543</v>
      </c>
      <c r="I53" s="293">
        <f>H53*40.57%</f>
        <v>0.005643803468419301</v>
      </c>
    </row>
    <row r="54" spans="1:9" ht="17.25" customHeight="1" thickBot="1">
      <c r="A54" s="305">
        <v>210027</v>
      </c>
      <c r="B54" s="306" t="s">
        <v>140</v>
      </c>
      <c r="C54" s="360" t="s">
        <v>292</v>
      </c>
      <c r="D54" s="307">
        <v>231025448.25</v>
      </c>
      <c r="E54" s="308">
        <v>17081.75</v>
      </c>
      <c r="F54" s="309"/>
      <c r="G54" s="309">
        <f>'4.HospitalSpecificGrowthModels'!L53</f>
        <v>0.12800673954414152</v>
      </c>
      <c r="H54" s="309"/>
      <c r="I54" s="311">
        <f>'4.HospitalSpecificGrowthModels'!O53</f>
        <v>0.0015</v>
      </c>
    </row>
    <row r="55" spans="1:9" s="357" customFormat="1" ht="13.5" thickTop="1">
      <c r="A55" s="357" t="s">
        <v>291</v>
      </c>
      <c r="B55" s="353"/>
      <c r="D55" s="359">
        <f>SUM(D4:D54)</f>
        <v>14098031744.06</v>
      </c>
      <c r="E55" s="359">
        <f>SUM(E4:E54)</f>
        <v>1074532.4299999997</v>
      </c>
      <c r="F55" s="358">
        <f>'4.HospitalSpecificGrowthModels'!K55</f>
        <v>0.013813559148664556</v>
      </c>
      <c r="G55" s="358">
        <f>'4.HospitalSpecificGrowthModels'!L55</f>
        <v>0.1364697564413249</v>
      </c>
      <c r="H55" s="358">
        <f>'4.HospitalSpecificGrowthModels'!M55</f>
        <v>0.011830619399885509</v>
      </c>
      <c r="I55" s="326">
        <v>0.0047</v>
      </c>
    </row>
    <row r="56" ht="12.75">
      <c r="A56" t="s">
        <v>282</v>
      </c>
    </row>
  </sheetData>
  <sheetProtection/>
  <autoFilter ref="A3:I56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4" width="14.00390625" style="0" customWidth="1"/>
    <col min="5" max="5" width="15.28125" style="0" customWidth="1"/>
    <col min="6" max="6" width="12.7109375" style="0" customWidth="1"/>
    <col min="7" max="7" width="13.28125" style="0" customWidth="1"/>
    <col min="9" max="9" width="9.8515625" style="0" customWidth="1"/>
    <col min="10" max="10" width="10.7109375" style="0" customWidth="1"/>
    <col min="11" max="11" width="14.421875" style="0" customWidth="1"/>
    <col min="12" max="12" width="15.00390625" style="0" customWidth="1"/>
    <col min="13" max="13" width="15.57421875" style="0" customWidth="1"/>
    <col min="15" max="15" width="9.140625" style="0" customWidth="1"/>
    <col min="16" max="16" width="10.7109375" style="0" customWidth="1"/>
  </cols>
  <sheetData>
    <row r="1" spans="1:9" ht="12.75">
      <c r="A1" t="s">
        <v>288</v>
      </c>
      <c r="I1" t="s">
        <v>289</v>
      </c>
    </row>
    <row r="2" spans="1:9" ht="14.25">
      <c r="A2" s="5" t="s">
        <v>180</v>
      </c>
      <c r="I2" s="217" t="s">
        <v>238</v>
      </c>
    </row>
    <row r="3" spans="1:16" ht="36" customHeight="1">
      <c r="A3" s="17" t="s">
        <v>0</v>
      </c>
      <c r="B3" s="18" t="s">
        <v>253</v>
      </c>
      <c r="C3" s="120" t="s">
        <v>177</v>
      </c>
      <c r="D3" s="120" t="s">
        <v>178</v>
      </c>
      <c r="E3" s="18" t="s">
        <v>179</v>
      </c>
      <c r="F3" s="23" t="s">
        <v>10</v>
      </c>
      <c r="G3" s="23" t="s">
        <v>165</v>
      </c>
      <c r="I3" s="17" t="s">
        <v>0</v>
      </c>
      <c r="J3" s="218" t="s">
        <v>239</v>
      </c>
      <c r="K3" s="218" t="s">
        <v>240</v>
      </c>
      <c r="L3" s="218" t="s">
        <v>241</v>
      </c>
      <c r="M3" s="218" t="s">
        <v>242</v>
      </c>
      <c r="N3" s="220" t="s">
        <v>10</v>
      </c>
      <c r="O3" s="220" t="s">
        <v>165</v>
      </c>
      <c r="P3" s="220" t="s">
        <v>243</v>
      </c>
    </row>
    <row r="4" spans="1:16" ht="14.25">
      <c r="A4" s="19" t="s">
        <v>244</v>
      </c>
      <c r="B4" s="31">
        <v>364901</v>
      </c>
      <c r="C4" s="121">
        <v>459363643.47</v>
      </c>
      <c r="D4" s="121">
        <v>135034145.96</v>
      </c>
      <c r="E4" s="20">
        <f aca="true" t="shared" si="0" ref="E4:E11">SUM(C4:D4)</f>
        <v>594397789.4300001</v>
      </c>
      <c r="F4" s="21">
        <f aca="true" t="shared" si="1" ref="F4:F12">E4/B4</f>
        <v>1628.9289134039097</v>
      </c>
      <c r="G4" s="12">
        <f aca="true" t="shared" si="2" ref="G4:G12">F4/$F$12</f>
        <v>0.6730835616025787</v>
      </c>
      <c r="I4" s="19" t="s">
        <v>43</v>
      </c>
      <c r="J4" s="221">
        <v>371334</v>
      </c>
      <c r="K4" s="219">
        <v>447907135.14</v>
      </c>
      <c r="L4" s="219">
        <v>139043726.36</v>
      </c>
      <c r="M4" s="219">
        <v>586950861.5</v>
      </c>
      <c r="N4" s="21">
        <f aca="true" t="shared" si="3" ref="N4:N12">M4/J4</f>
        <v>1580.6547784474355</v>
      </c>
      <c r="O4" s="12">
        <f>N4/$N$12</f>
        <v>0.6773996935562516</v>
      </c>
      <c r="P4" s="289">
        <f>(G4-O4)/G4</f>
        <v>-0.006412475656657664</v>
      </c>
    </row>
    <row r="5" spans="1:16" ht="14.25">
      <c r="A5" s="19" t="s">
        <v>247</v>
      </c>
      <c r="B5" s="31">
        <v>746038</v>
      </c>
      <c r="C5" s="121">
        <v>98578208.91</v>
      </c>
      <c r="D5" s="121">
        <v>188792536.36</v>
      </c>
      <c r="E5" s="121">
        <f t="shared" si="0"/>
        <v>287370745.27</v>
      </c>
      <c r="F5" s="21">
        <f t="shared" si="1"/>
        <v>385.1958549966623</v>
      </c>
      <c r="G5" s="12">
        <f t="shared" si="2"/>
        <v>0.15916532382860066</v>
      </c>
      <c r="I5" s="32" t="s">
        <v>44</v>
      </c>
      <c r="J5" s="221">
        <v>745045</v>
      </c>
      <c r="K5" s="219">
        <v>96801062.4</v>
      </c>
      <c r="L5" s="219">
        <v>185339044.01</v>
      </c>
      <c r="M5" s="219">
        <v>282140106.40999997</v>
      </c>
      <c r="N5" s="21">
        <f t="shared" si="3"/>
        <v>378.6886784153977</v>
      </c>
      <c r="O5" s="12">
        <f aca="true" t="shared" si="4" ref="O5:O12">N5/$N$12</f>
        <v>0.16228945004916073</v>
      </c>
      <c r="P5" s="289">
        <f aca="true" t="shared" si="5" ref="P5:P11">(G5-O5)/G5</f>
        <v>-0.01962818373632898</v>
      </c>
    </row>
    <row r="6" spans="1:16" ht="14.25">
      <c r="A6" s="32" t="s">
        <v>245</v>
      </c>
      <c r="B6" s="31">
        <v>2304400</v>
      </c>
      <c r="C6" s="121">
        <v>1828846481.1</v>
      </c>
      <c r="D6" s="121">
        <v>1676523834.5</v>
      </c>
      <c r="E6" s="121">
        <f t="shared" si="0"/>
        <v>3505370315.6</v>
      </c>
      <c r="F6" s="21">
        <f t="shared" si="1"/>
        <v>1521.1639973962854</v>
      </c>
      <c r="G6" s="12">
        <f t="shared" si="2"/>
        <v>0.6285544278353835</v>
      </c>
      <c r="I6" s="19" t="s">
        <v>45</v>
      </c>
      <c r="J6" s="221">
        <v>2347063</v>
      </c>
      <c r="K6" s="219">
        <v>1749030421.5</v>
      </c>
      <c r="L6" s="219">
        <v>1649167753.9</v>
      </c>
      <c r="M6" s="219">
        <v>3398198175.4</v>
      </c>
      <c r="N6" s="21">
        <f t="shared" si="3"/>
        <v>1447.851282816013</v>
      </c>
      <c r="O6" s="12">
        <f t="shared" si="4"/>
        <v>0.6204859079083274</v>
      </c>
      <c r="P6" s="289">
        <f t="shared" si="5"/>
        <v>0.012836628889629382</v>
      </c>
    </row>
    <row r="7" spans="1:16" ht="14.25">
      <c r="A7" s="19" t="s">
        <v>246</v>
      </c>
      <c r="B7" s="31">
        <v>874715</v>
      </c>
      <c r="C7" s="121">
        <v>1181745822.9</v>
      </c>
      <c r="D7" s="121">
        <v>951839267.83</v>
      </c>
      <c r="E7" s="121">
        <f t="shared" si="0"/>
        <v>2133585090.73</v>
      </c>
      <c r="F7" s="21">
        <f t="shared" si="1"/>
        <v>2439.177435770508</v>
      </c>
      <c r="G7" s="12">
        <f t="shared" si="2"/>
        <v>1.0078832921065382</v>
      </c>
      <c r="I7" s="19" t="s">
        <v>100</v>
      </c>
      <c r="J7" s="221">
        <v>890201</v>
      </c>
      <c r="K7" s="219">
        <v>1152737144.7</v>
      </c>
      <c r="L7" s="219">
        <v>978209702.19</v>
      </c>
      <c r="M7" s="219">
        <v>2130946846.89</v>
      </c>
      <c r="N7" s="21">
        <f t="shared" si="3"/>
        <v>2393.781681766253</v>
      </c>
      <c r="O7" s="12">
        <f t="shared" si="4"/>
        <v>1.0258704176137425</v>
      </c>
      <c r="P7" s="289">
        <f t="shared" si="5"/>
        <v>-0.017846436832592176</v>
      </c>
    </row>
    <row r="8" spans="1:16" ht="14.25">
      <c r="A8" s="22" t="s">
        <v>248</v>
      </c>
      <c r="B8" s="31">
        <v>769020</v>
      </c>
      <c r="C8" s="121">
        <v>1661427387.3</v>
      </c>
      <c r="D8" s="121">
        <v>1062002085.1</v>
      </c>
      <c r="E8" s="121">
        <f t="shared" si="0"/>
        <v>2723429472.4</v>
      </c>
      <c r="F8" s="21">
        <f t="shared" si="1"/>
        <v>3541.4286655743676</v>
      </c>
      <c r="G8" s="12">
        <f t="shared" si="2"/>
        <v>1.463340358054781</v>
      </c>
      <c r="I8" s="22" t="s">
        <v>1</v>
      </c>
      <c r="J8" s="221">
        <v>753340</v>
      </c>
      <c r="K8" s="219">
        <v>1520406701.3</v>
      </c>
      <c r="L8" s="219">
        <v>1019280809.1</v>
      </c>
      <c r="M8" s="219">
        <v>2539687510.4</v>
      </c>
      <c r="N8" s="21">
        <f t="shared" si="3"/>
        <v>3371.2367727719225</v>
      </c>
      <c r="O8" s="12">
        <f t="shared" si="4"/>
        <v>1.4447650353003443</v>
      </c>
      <c r="P8" s="289">
        <f t="shared" si="5"/>
        <v>0.012693781492590641</v>
      </c>
    </row>
    <row r="9" spans="1:16" ht="14.25">
      <c r="A9" s="22" t="s">
        <v>249</v>
      </c>
      <c r="B9" s="31">
        <v>467738</v>
      </c>
      <c r="C9" s="121">
        <v>1587084808.7</v>
      </c>
      <c r="D9" s="121">
        <v>890786279.33</v>
      </c>
      <c r="E9" s="121">
        <f t="shared" si="0"/>
        <v>2477871088.03</v>
      </c>
      <c r="F9" s="21">
        <f t="shared" si="1"/>
        <v>5297.562071138116</v>
      </c>
      <c r="G9" s="12">
        <f t="shared" si="2"/>
        <v>2.188985607236394</v>
      </c>
      <c r="I9" s="22" t="s">
        <v>2</v>
      </c>
      <c r="J9" s="221">
        <v>451737</v>
      </c>
      <c r="K9" s="219">
        <v>1468707995.3</v>
      </c>
      <c r="L9" s="219">
        <v>852941786.41</v>
      </c>
      <c r="M9" s="219">
        <v>2321649781.71</v>
      </c>
      <c r="N9" s="21">
        <f t="shared" si="3"/>
        <v>5139.383715989614</v>
      </c>
      <c r="O9" s="12">
        <f t="shared" si="4"/>
        <v>2.202515692704831</v>
      </c>
      <c r="P9" s="289">
        <f t="shared" si="5"/>
        <v>-0.006180984207346545</v>
      </c>
    </row>
    <row r="10" spans="1:16" ht="14.25">
      <c r="A10" s="22" t="s">
        <v>250</v>
      </c>
      <c r="B10" s="31">
        <v>232724</v>
      </c>
      <c r="C10" s="121">
        <v>1171328386.4</v>
      </c>
      <c r="D10" s="121">
        <v>485066546.14</v>
      </c>
      <c r="E10" s="121">
        <f t="shared" si="0"/>
        <v>1656394932.54</v>
      </c>
      <c r="F10" s="21">
        <f t="shared" si="1"/>
        <v>7117.422064505595</v>
      </c>
      <c r="G10" s="12">
        <f t="shared" si="2"/>
        <v>2.9409630789814094</v>
      </c>
      <c r="I10" s="22" t="s">
        <v>3</v>
      </c>
      <c r="J10" s="221">
        <v>228153</v>
      </c>
      <c r="K10" s="219">
        <v>1155016975.6</v>
      </c>
      <c r="L10" s="219">
        <v>503027305.6</v>
      </c>
      <c r="M10" s="219">
        <v>1658044281.1999998</v>
      </c>
      <c r="N10" s="21">
        <f t="shared" si="3"/>
        <v>7267.247334902455</v>
      </c>
      <c r="O10" s="12">
        <f t="shared" si="4"/>
        <v>3.114425227307227</v>
      </c>
      <c r="P10" s="289">
        <f t="shared" si="5"/>
        <v>-0.05898140971762744</v>
      </c>
    </row>
    <row r="11" spans="1:16" ht="14.25">
      <c r="A11" s="33" t="s">
        <v>4</v>
      </c>
      <c r="B11" s="34">
        <v>106370</v>
      </c>
      <c r="C11" s="121">
        <v>651493308.66</v>
      </c>
      <c r="D11" s="121">
        <v>166161016.68</v>
      </c>
      <c r="E11" s="121">
        <f t="shared" si="0"/>
        <v>817654325.3399999</v>
      </c>
      <c r="F11" s="35">
        <f t="shared" si="1"/>
        <v>7686.888458587947</v>
      </c>
      <c r="G11" s="36">
        <f t="shared" si="2"/>
        <v>3.176270136022323</v>
      </c>
      <c r="I11" s="33" t="s">
        <v>4</v>
      </c>
      <c r="J11" s="222">
        <v>104429</v>
      </c>
      <c r="K11" s="219">
        <v>637069486.11</v>
      </c>
      <c r="L11" s="219">
        <v>192166907</v>
      </c>
      <c r="M11" s="219">
        <v>829236393.11</v>
      </c>
      <c r="N11" s="35">
        <f t="shared" si="3"/>
        <v>7940.671586532477</v>
      </c>
      <c r="O11" s="12">
        <f t="shared" si="4"/>
        <v>3.40302548835575</v>
      </c>
      <c r="P11" s="290">
        <f t="shared" si="5"/>
        <v>-0.0713904493707186</v>
      </c>
    </row>
    <row r="12" spans="1:16" ht="14.25">
      <c r="A12" s="37" t="s">
        <v>5</v>
      </c>
      <c r="B12" s="38">
        <f>SUM(B4:B11)</f>
        <v>5865906</v>
      </c>
      <c r="C12" s="38">
        <f>SUM(C4:C11)</f>
        <v>8639868047.44</v>
      </c>
      <c r="D12" s="38">
        <f>SUM(D4:D11)</f>
        <v>5556205711.900001</v>
      </c>
      <c r="E12" s="39">
        <f>SUM(E4:E11)</f>
        <v>14196073759.34</v>
      </c>
      <c r="F12" s="40">
        <f t="shared" si="1"/>
        <v>2420.0990877351255</v>
      </c>
      <c r="G12" s="41">
        <f t="shared" si="2"/>
        <v>1</v>
      </c>
      <c r="I12" s="37" t="s">
        <v>5</v>
      </c>
      <c r="J12" s="223">
        <v>5891302</v>
      </c>
      <c r="K12" s="223">
        <v>8227676922.05</v>
      </c>
      <c r="L12" s="223">
        <v>5519177034.570001</v>
      </c>
      <c r="M12" s="224">
        <v>13746853956.620003</v>
      </c>
      <c r="N12" s="40">
        <f t="shared" si="3"/>
        <v>2333.415254661873</v>
      </c>
      <c r="O12" s="41">
        <f t="shared" si="4"/>
        <v>1</v>
      </c>
      <c r="P12" s="291">
        <f>G12/O12-1</f>
        <v>0</v>
      </c>
    </row>
    <row r="13" spans="1:7" ht="14.25">
      <c r="A13" s="4"/>
      <c r="B13" s="11"/>
      <c r="C13" s="11"/>
      <c r="D13" s="11"/>
      <c r="E13" s="9"/>
      <c r="F13" s="9"/>
      <c r="G13" s="13"/>
    </row>
    <row r="14" spans="1:7" ht="15" customHeight="1">
      <c r="A14" s="10" t="s">
        <v>47</v>
      </c>
      <c r="B14" s="11"/>
      <c r="C14" s="11"/>
      <c r="D14" s="11"/>
      <c r="E14" s="9"/>
      <c r="F14" s="9"/>
      <c r="G14" s="9"/>
    </row>
    <row r="15" ht="14.25">
      <c r="A15" s="10" t="s">
        <v>13</v>
      </c>
    </row>
    <row r="16" spans="1:5" ht="14.25">
      <c r="A16" s="10"/>
      <c r="E16" s="119"/>
    </row>
    <row r="19" ht="12.75">
      <c r="G19" s="2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L20" sqref="L20"/>
    </sheetView>
  </sheetViews>
  <sheetFormatPr defaultColWidth="9.140625" defaultRowHeight="12.75"/>
  <cols>
    <col min="2" max="3" width="13.8515625" style="0" customWidth="1"/>
    <col min="4" max="4" width="12.8515625" style="0" customWidth="1"/>
    <col min="5" max="5" width="12.57421875" style="0" hidden="1" customWidth="1"/>
    <col min="6" max="6" width="3.57421875" style="0" customWidth="1"/>
    <col min="8" max="8" width="11.8515625" style="0" customWidth="1"/>
    <col min="9" max="9" width="13.28125" style="0" hidden="1" customWidth="1"/>
    <col min="10" max="10" width="4.28125" style="16" customWidth="1"/>
    <col min="12" max="12" width="11.28125" style="0" customWidth="1"/>
    <col min="13" max="13" width="11.7109375" style="0" customWidth="1"/>
    <col min="15" max="15" width="2.7109375" style="0" customWidth="1"/>
    <col min="18" max="18" width="0" style="0" hidden="1" customWidth="1"/>
    <col min="19" max="19" width="4.7109375" style="0" customWidth="1"/>
    <col min="20" max="20" width="10.140625" style="0" customWidth="1"/>
    <col min="21" max="21" width="10.7109375" style="0" customWidth="1"/>
  </cols>
  <sheetData>
    <row r="1" spans="1:11" ht="12.75">
      <c r="A1" t="s">
        <v>288</v>
      </c>
      <c r="K1" t="s">
        <v>289</v>
      </c>
    </row>
    <row r="2" ht="14.25">
      <c r="A2" s="5" t="s">
        <v>167</v>
      </c>
    </row>
    <row r="3" spans="1:21" ht="39.75" customHeight="1">
      <c r="A3" s="8" t="s">
        <v>6</v>
      </c>
      <c r="B3" s="218" t="s">
        <v>253</v>
      </c>
      <c r="C3" s="231" t="s">
        <v>164</v>
      </c>
      <c r="D3" s="51" t="s">
        <v>12</v>
      </c>
      <c r="E3" s="51" t="s">
        <v>7</v>
      </c>
      <c r="F3" s="51"/>
      <c r="G3" s="51" t="s">
        <v>166</v>
      </c>
      <c r="H3" s="51" t="s">
        <v>46</v>
      </c>
      <c r="I3" s="214" t="s">
        <v>8</v>
      </c>
      <c r="J3" s="205"/>
      <c r="K3" s="210" t="s">
        <v>6</v>
      </c>
      <c r="L3" s="231" t="s">
        <v>251</v>
      </c>
      <c r="M3" s="231" t="s">
        <v>252</v>
      </c>
      <c r="N3" s="231" t="s">
        <v>12</v>
      </c>
      <c r="O3" s="231"/>
      <c r="P3" s="231" t="s">
        <v>166</v>
      </c>
      <c r="Q3" s="231" t="s">
        <v>46</v>
      </c>
      <c r="R3" s="231" t="s">
        <v>8</v>
      </c>
      <c r="S3" s="216"/>
      <c r="T3" s="264" t="s">
        <v>254</v>
      </c>
      <c r="U3" s="265" t="s">
        <v>255</v>
      </c>
    </row>
    <row r="4" spans="1:21" s="16" customFormat="1" ht="14.25">
      <c r="A4" s="47" t="str">
        <f>'1.Weights '!A4</f>
        <v>0 to 4</v>
      </c>
      <c r="B4" s="227">
        <v>364901</v>
      </c>
      <c r="C4" s="227">
        <v>363570</v>
      </c>
      <c r="D4" s="262">
        <f>(C4/B4)-1</f>
        <v>-0.0036475646819273955</v>
      </c>
      <c r="E4" s="52">
        <f aca="true" t="shared" si="0" ref="E4:E10">B4*D4</f>
        <v>-1330.9999999999886</v>
      </c>
      <c r="F4" s="52"/>
      <c r="G4" s="53">
        <f>'1.Weights '!G4</f>
        <v>0.6730835616025787</v>
      </c>
      <c r="H4" s="54">
        <f>D4*G4</f>
        <v>-0.0024551158272874685</v>
      </c>
      <c r="I4" s="213">
        <f>B4*H4</f>
        <v>-895.8742204930245</v>
      </c>
      <c r="J4" s="215"/>
      <c r="K4" s="209" t="s">
        <v>244</v>
      </c>
      <c r="L4" s="227">
        <v>364846</v>
      </c>
      <c r="M4" s="227">
        <v>365032</v>
      </c>
      <c r="N4" s="42">
        <f>(M4/L4)^(1/5)-1</f>
        <v>0.00010194004164509884</v>
      </c>
      <c r="O4" s="232"/>
      <c r="P4" s="53">
        <v>0.6773996935562516</v>
      </c>
      <c r="Q4" s="233">
        <f aca="true" t="shared" si="1" ref="Q4:Q11">N4*P4</f>
        <v>6.905415297150148E-05</v>
      </c>
      <c r="R4" s="232">
        <f>L4*Q4</f>
        <v>25.19413149504043</v>
      </c>
      <c r="S4" s="215"/>
      <c r="T4" s="266">
        <f aca="true" t="shared" si="2" ref="T4:T11">D4-N4</f>
        <v>-0.0037495047235724943</v>
      </c>
      <c r="U4" s="267">
        <f>H4-Q4</f>
        <v>-0.00252416998025897</v>
      </c>
    </row>
    <row r="5" spans="1:21" s="16" customFormat="1" ht="14.25">
      <c r="A5" s="47" t="str">
        <f>'1.Weights '!A5</f>
        <v>5 to 14</v>
      </c>
      <c r="B5" s="227">
        <v>746038</v>
      </c>
      <c r="C5" s="227">
        <v>747008</v>
      </c>
      <c r="D5" s="262">
        <f aca="true" t="shared" si="3" ref="D5:D12">(C5/B5)-1</f>
        <v>0.0013002018663927917</v>
      </c>
      <c r="E5" s="52">
        <f>B5*D5</f>
        <v>969.9999999999455</v>
      </c>
      <c r="F5" s="55"/>
      <c r="G5" s="56">
        <f>'1.Weights '!G5</f>
        <v>0.15916532382860066</v>
      </c>
      <c r="H5" s="57">
        <f>D5*G5</f>
        <v>0.00020694705110695964</v>
      </c>
      <c r="I5" s="212">
        <f>B6*H6</f>
        <v>6371.0276805394615</v>
      </c>
      <c r="J5" s="215"/>
      <c r="K5" s="209" t="s">
        <v>247</v>
      </c>
      <c r="L5" s="227">
        <v>746031</v>
      </c>
      <c r="M5" s="227">
        <v>748717</v>
      </c>
      <c r="N5" s="42">
        <f aca="true" t="shared" si="4" ref="N5:N11">(M5/L5)^(1/5)-1</f>
        <v>0.0007190425277194823</v>
      </c>
      <c r="O5" s="234"/>
      <c r="P5" s="56">
        <v>0.16228945004916073</v>
      </c>
      <c r="Q5" s="57">
        <f t="shared" si="1"/>
        <v>0.0001166930163855532</v>
      </c>
      <c r="R5" s="232">
        <f aca="true" t="shared" si="5" ref="R5:R11">L5*Q5</f>
        <v>87.05660770713064</v>
      </c>
      <c r="S5" s="215"/>
      <c r="T5" s="266">
        <f t="shared" si="2"/>
        <v>0.0005811593386733094</v>
      </c>
      <c r="U5" s="267">
        <f aca="true" t="shared" si="6" ref="U5:U11">H5-Q5</f>
        <v>9.025403472140645E-05</v>
      </c>
    </row>
    <row r="6" spans="1:21" s="16" customFormat="1" ht="14.25">
      <c r="A6" s="48" t="str">
        <f>'1.Weights '!A6</f>
        <v>15 to 44</v>
      </c>
      <c r="B6" s="227">
        <v>2304400</v>
      </c>
      <c r="C6" s="227">
        <v>2314536</v>
      </c>
      <c r="D6" s="262">
        <f t="shared" si="3"/>
        <v>0.004398541919805599</v>
      </c>
      <c r="E6" s="52">
        <f t="shared" si="0"/>
        <v>10136.000000000022</v>
      </c>
      <c r="F6" s="55"/>
      <c r="G6" s="56">
        <f>'1.Weights '!G6</f>
        <v>0.6285544278353835</v>
      </c>
      <c r="H6" s="57">
        <f aca="true" t="shared" si="7" ref="H6:H11">D6*G6</f>
        <v>0.0027647229997133575</v>
      </c>
      <c r="I6" s="212">
        <f>B7*H7</f>
        <v>-9320.904685401229</v>
      </c>
      <c r="J6" s="215"/>
      <c r="K6" s="208" t="s">
        <v>245</v>
      </c>
      <c r="L6" s="227">
        <v>2367336</v>
      </c>
      <c r="M6" s="227">
        <v>2393555</v>
      </c>
      <c r="N6" s="42">
        <f t="shared" si="4"/>
        <v>0.002205315377177053</v>
      </c>
      <c r="O6" s="234"/>
      <c r="P6" s="56">
        <v>0.6204859079083274</v>
      </c>
      <c r="Q6" s="57">
        <f t="shared" si="1"/>
        <v>0.001368367114031899</v>
      </c>
      <c r="R6" s="232">
        <f t="shared" si="5"/>
        <v>3239.3847302638196</v>
      </c>
      <c r="S6" s="215"/>
      <c r="T6" s="266">
        <f t="shared" si="2"/>
        <v>0.0021932265426285458</v>
      </c>
      <c r="U6" s="267">
        <f t="shared" si="6"/>
        <v>0.0013963558856814585</v>
      </c>
    </row>
    <row r="7" spans="1:21" s="16" customFormat="1" ht="14.25">
      <c r="A7" s="47" t="str">
        <f>'1.Weights '!A7</f>
        <v>45 to 54</v>
      </c>
      <c r="B7" s="227">
        <v>874715</v>
      </c>
      <c r="C7" s="227">
        <v>865467</v>
      </c>
      <c r="D7" s="262">
        <f t="shared" si="3"/>
        <v>-0.010572586499602687</v>
      </c>
      <c r="E7" s="52">
        <f t="shared" si="0"/>
        <v>-9247.999999999965</v>
      </c>
      <c r="F7" s="55"/>
      <c r="G7" s="56">
        <f>'1.Weights '!G7</f>
        <v>1.0078832921065382</v>
      </c>
      <c r="H7" s="57">
        <f t="shared" si="7"/>
        <v>-0.010655933287300696</v>
      </c>
      <c r="I7" s="212">
        <f>B5*H5</f>
        <v>154.39036411373397</v>
      </c>
      <c r="J7" s="215"/>
      <c r="K7" s="209" t="s">
        <v>246</v>
      </c>
      <c r="L7" s="227">
        <v>886762</v>
      </c>
      <c r="M7" s="227">
        <v>834278</v>
      </c>
      <c r="N7" s="42">
        <f t="shared" si="4"/>
        <v>-0.012127846793030472</v>
      </c>
      <c r="O7" s="234"/>
      <c r="P7" s="56">
        <v>1.0258704176137425</v>
      </c>
      <c r="Q7" s="57">
        <f t="shared" si="1"/>
        <v>-0.012441599254321659</v>
      </c>
      <c r="R7" s="232">
        <f t="shared" si="5"/>
        <v>-11032.737437960783</v>
      </c>
      <c r="S7" s="215"/>
      <c r="T7" s="266">
        <f t="shared" si="2"/>
        <v>0.0015552602934277848</v>
      </c>
      <c r="U7" s="267">
        <f t="shared" si="6"/>
        <v>0.001785665967020962</v>
      </c>
    </row>
    <row r="8" spans="1:21" s="16" customFormat="1" ht="14.25">
      <c r="A8" s="49" t="str">
        <f>'1.Weights '!A8</f>
        <v>55 to 64</v>
      </c>
      <c r="B8" s="227">
        <v>769020</v>
      </c>
      <c r="C8" s="227">
        <v>779695</v>
      </c>
      <c r="D8" s="262">
        <f t="shared" si="3"/>
        <v>0.013881303477152773</v>
      </c>
      <c r="E8" s="52">
        <f t="shared" si="0"/>
        <v>10675.000000000025</v>
      </c>
      <c r="F8" s="55"/>
      <c r="G8" s="56">
        <f>'1.Weights '!G8</f>
        <v>1.463340358054781</v>
      </c>
      <c r="H8" s="57">
        <f t="shared" si="7"/>
        <v>0.020313071600523817</v>
      </c>
      <c r="I8" s="212">
        <f>B8*H8</f>
        <v>15621.158322234825</v>
      </c>
      <c r="J8" s="215"/>
      <c r="K8" s="207" t="s">
        <v>248</v>
      </c>
      <c r="L8" s="227">
        <v>775593</v>
      </c>
      <c r="M8" s="227">
        <v>854098</v>
      </c>
      <c r="N8" s="42">
        <f t="shared" si="4"/>
        <v>0.019470738340332083</v>
      </c>
      <c r="O8" s="234"/>
      <c r="P8" s="56">
        <v>1.4447650353003443</v>
      </c>
      <c r="Q8" s="57">
        <f t="shared" si="1"/>
        <v>0.028130641965593648</v>
      </c>
      <c r="R8" s="232">
        <f t="shared" si="5"/>
        <v>21817.928994020673</v>
      </c>
      <c r="S8" s="215"/>
      <c r="T8" s="266">
        <f t="shared" si="2"/>
        <v>-0.00558943486317931</v>
      </c>
      <c r="U8" s="267">
        <f t="shared" si="6"/>
        <v>-0.007817570365069831</v>
      </c>
    </row>
    <row r="9" spans="1:21" s="16" customFormat="1" ht="14.25">
      <c r="A9" s="49" t="str">
        <f>'1.Weights '!A9</f>
        <v>65 to 74</v>
      </c>
      <c r="B9" s="227">
        <v>467738</v>
      </c>
      <c r="C9" s="227">
        <v>491076</v>
      </c>
      <c r="D9" s="262">
        <f t="shared" si="3"/>
        <v>0.049895454292787855</v>
      </c>
      <c r="E9" s="52">
        <f t="shared" si="0"/>
        <v>23338.000000000007</v>
      </c>
      <c r="F9" s="55"/>
      <c r="G9" s="56">
        <f>'1.Weights '!G9</f>
        <v>2.188985607236394</v>
      </c>
      <c r="H9" s="57">
        <f t="shared" si="7"/>
        <v>0.10922043131343395</v>
      </c>
      <c r="I9" s="212">
        <f>B9*H9</f>
        <v>51086.54610168297</v>
      </c>
      <c r="J9" s="215"/>
      <c r="K9" s="207" t="s">
        <v>249</v>
      </c>
      <c r="L9" s="227">
        <v>470688</v>
      </c>
      <c r="M9" s="227">
        <v>604404</v>
      </c>
      <c r="N9" s="42">
        <f t="shared" si="4"/>
        <v>0.05128106129023746</v>
      </c>
      <c r="O9" s="234"/>
      <c r="P9" s="56">
        <v>2.202515692704831</v>
      </c>
      <c r="Q9" s="57">
        <f t="shared" si="1"/>
        <v>0.11294734223030625</v>
      </c>
      <c r="R9" s="232">
        <f t="shared" si="5"/>
        <v>53162.95861969839</v>
      </c>
      <c r="S9" s="215"/>
      <c r="T9" s="266">
        <f t="shared" si="2"/>
        <v>-0.0013856069974496066</v>
      </c>
      <c r="U9" s="268">
        <f t="shared" si="6"/>
        <v>-0.0037269109168723003</v>
      </c>
    </row>
    <row r="10" spans="1:21" s="16" customFormat="1" ht="14.25">
      <c r="A10" s="49" t="str">
        <f>'1.Weights '!A10</f>
        <v>75 to 84</v>
      </c>
      <c r="B10" s="227">
        <v>232724</v>
      </c>
      <c r="C10" s="227">
        <v>236484</v>
      </c>
      <c r="D10" s="272">
        <f t="shared" si="3"/>
        <v>0.01615647720046054</v>
      </c>
      <c r="E10" s="52">
        <f t="shared" si="0"/>
        <v>3759.9999999999786</v>
      </c>
      <c r="F10" s="55"/>
      <c r="G10" s="56">
        <f>'1.Weights '!G10</f>
        <v>2.9409630789814094</v>
      </c>
      <c r="H10" s="57">
        <f t="shared" si="7"/>
        <v>0.04751560293295937</v>
      </c>
      <c r="I10" s="212">
        <f>B10*H10</f>
        <v>11058.021176970036</v>
      </c>
      <c r="J10" s="215"/>
      <c r="K10" s="207" t="s">
        <v>250</v>
      </c>
      <c r="L10" s="227">
        <v>233876</v>
      </c>
      <c r="M10" s="227">
        <v>270773</v>
      </c>
      <c r="N10" s="271">
        <f t="shared" si="4"/>
        <v>0.02973136157928158</v>
      </c>
      <c r="O10" s="234"/>
      <c r="P10" s="56">
        <v>3.114425227307227</v>
      </c>
      <c r="Q10" s="57">
        <f t="shared" si="1"/>
        <v>0.09259610254470739</v>
      </c>
      <c r="R10" s="232">
        <f t="shared" si="5"/>
        <v>21656.006078745984</v>
      </c>
      <c r="S10" s="215"/>
      <c r="T10" s="266">
        <f t="shared" si="2"/>
        <v>-0.01357488437882104</v>
      </c>
      <c r="U10" s="269">
        <f>H10-Q10</f>
        <v>-0.04508049961174802</v>
      </c>
    </row>
    <row r="11" spans="1:21" s="16" customFormat="1" ht="14.25">
      <c r="A11" s="50" t="str">
        <f>'1.Weights '!A11</f>
        <v>85+</v>
      </c>
      <c r="B11" s="222">
        <v>106370</v>
      </c>
      <c r="C11" s="227">
        <v>108681</v>
      </c>
      <c r="D11" s="262">
        <f t="shared" si="3"/>
        <v>0.021726050578170453</v>
      </c>
      <c r="E11" s="58">
        <f>B11*D11</f>
        <v>2310.999999999991</v>
      </c>
      <c r="F11" s="59"/>
      <c r="G11" s="14">
        <f>'1.Weights '!G11</f>
        <v>3.176270136022323</v>
      </c>
      <c r="H11" s="60">
        <f t="shared" si="7"/>
        <v>0.06900780562515334</v>
      </c>
      <c r="I11" s="211">
        <f>B11*H11</f>
        <v>7340.36028434756</v>
      </c>
      <c r="J11" s="215"/>
      <c r="K11" s="206" t="s">
        <v>4</v>
      </c>
      <c r="L11" s="227">
        <v>106711</v>
      </c>
      <c r="M11" s="235">
        <v>113277</v>
      </c>
      <c r="N11" s="42">
        <f t="shared" si="4"/>
        <v>0.012013975095947593</v>
      </c>
      <c r="O11" s="236"/>
      <c r="P11" s="14">
        <v>3.40302548835575</v>
      </c>
      <c r="Q11" s="60">
        <f t="shared" si="1"/>
        <v>0.040883863467980876</v>
      </c>
      <c r="R11" s="232">
        <f t="shared" si="5"/>
        <v>4362.757954531708</v>
      </c>
      <c r="S11" s="215"/>
      <c r="T11" s="266">
        <f t="shared" si="2"/>
        <v>0.00971207548222286</v>
      </c>
      <c r="U11" s="267">
        <f t="shared" si="6"/>
        <v>0.02812394215717246</v>
      </c>
    </row>
    <row r="12" spans="1:21" ht="15" thickBot="1">
      <c r="A12" s="43" t="s">
        <v>5</v>
      </c>
      <c r="B12" s="223">
        <f>SUM(B4:B11)</f>
        <v>5865906</v>
      </c>
      <c r="C12" s="229">
        <f>SUM(C4:C11)</f>
        <v>5906517</v>
      </c>
      <c r="D12" s="44">
        <f t="shared" si="3"/>
        <v>0.006923227204800098</v>
      </c>
      <c r="E12" s="45">
        <f>SUM(E4:E11)</f>
        <v>40611.000000000015</v>
      </c>
      <c r="F12" s="45"/>
      <c r="G12" s="46">
        <f>'1.Weights '!G12</f>
        <v>1</v>
      </c>
      <c r="H12" s="44">
        <f>I12/B12</f>
        <v>0.01387930952592734</v>
      </c>
      <c r="I12" s="45">
        <f>SUM(I4:I11)</f>
        <v>81414.72502399434</v>
      </c>
      <c r="J12" s="237"/>
      <c r="K12" s="228" t="s">
        <v>5</v>
      </c>
      <c r="L12" s="229">
        <v>5951843</v>
      </c>
      <c r="M12" s="229">
        <f>SUM(M4:M11)</f>
        <v>6184134</v>
      </c>
      <c r="N12" s="263">
        <f>(M12/L12)^(1/5)-1</f>
        <v>0.007686603494949429</v>
      </c>
      <c r="O12" s="230"/>
      <c r="P12" s="46">
        <v>1</v>
      </c>
      <c r="Q12" s="263">
        <f>R12/L12</f>
        <v>0.01567893334526834</v>
      </c>
      <c r="R12" s="230">
        <f>SUM(R4:R11)</f>
        <v>93318.54967850196</v>
      </c>
      <c r="S12" s="237"/>
      <c r="T12" s="256"/>
      <c r="U12" s="270"/>
    </row>
    <row r="13" spans="1:17" ht="15" thickTop="1">
      <c r="A13" s="6" t="s">
        <v>9</v>
      </c>
      <c r="B13" s="6"/>
      <c r="C13" s="6"/>
      <c r="D13" s="7">
        <f>SUM(E9:E11)/SUM(B9:B11)</f>
        <v>0.03644996727943361</v>
      </c>
      <c r="G13" s="6"/>
      <c r="H13" s="7">
        <f>SUM(I9:I11)/SUM($B$9:$B$11)</f>
        <v>0.08612068877164089</v>
      </c>
      <c r="K13" s="225" t="s">
        <v>9</v>
      </c>
      <c r="L13" s="225"/>
      <c r="M13" s="225"/>
      <c r="N13" s="226">
        <v>0.03990367679733631</v>
      </c>
      <c r="P13" s="225"/>
      <c r="Q13" s="226">
        <v>0.09760158103352881</v>
      </c>
    </row>
    <row r="14" spans="1:8" ht="14.25">
      <c r="A14" s="6"/>
      <c r="B14" s="6"/>
      <c r="C14" s="6"/>
      <c r="D14" s="7"/>
      <c r="G14" s="6"/>
      <c r="H14" s="7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140625" defaultRowHeight="12.75"/>
  <cols>
    <col min="1" max="1" width="9.7109375" style="0" customWidth="1"/>
    <col min="2" max="2" width="42.7109375" style="0" customWidth="1"/>
    <col min="3" max="3" width="7.28125" style="0" customWidth="1"/>
    <col min="4" max="4" width="14.8515625" style="0" customWidth="1"/>
    <col min="5" max="6" width="11.140625" style="0" customWidth="1"/>
    <col min="7" max="8" width="11.421875" style="0" customWidth="1"/>
    <col min="9" max="9" width="10.57421875" style="0" hidden="1" customWidth="1"/>
    <col min="10" max="10" width="15.7109375" style="140" customWidth="1"/>
    <col min="11" max="11" width="12.140625" style="0" customWidth="1"/>
    <col min="12" max="12" width="15.7109375" style="140" customWidth="1"/>
    <col min="13" max="13" width="12.421875" style="0" customWidth="1"/>
    <col min="14" max="14" width="10.421875" style="0" hidden="1" customWidth="1"/>
    <col min="15" max="15" width="12.421875" style="1" customWidth="1"/>
    <col min="16" max="16" width="14.140625" style="0" hidden="1" customWidth="1"/>
    <col min="17" max="17" width="2.00390625" style="0" customWidth="1"/>
    <col min="18" max="20" width="12.421875" style="0" customWidth="1"/>
    <col min="21" max="21" width="3.57421875" style="0" customWidth="1"/>
    <col min="22" max="23" width="12.421875" style="0" customWidth="1"/>
    <col min="24" max="25" width="12.421875" style="1" customWidth="1"/>
  </cols>
  <sheetData>
    <row r="1" ht="29.25" customHeight="1">
      <c r="A1" s="1" t="s">
        <v>39</v>
      </c>
    </row>
    <row r="2" spans="1:25" ht="57" customHeight="1">
      <c r="A2" s="143" t="s">
        <v>52</v>
      </c>
      <c r="B2" s="143" t="s">
        <v>283</v>
      </c>
      <c r="C2" s="143" t="s">
        <v>280</v>
      </c>
      <c r="D2" s="143" t="s">
        <v>284</v>
      </c>
      <c r="E2" s="143" t="s">
        <v>285</v>
      </c>
      <c r="F2" s="143" t="s">
        <v>42</v>
      </c>
      <c r="G2" s="143" t="s">
        <v>265</v>
      </c>
      <c r="H2" s="143" t="s">
        <v>266</v>
      </c>
      <c r="I2" s="143" t="s">
        <v>194</v>
      </c>
      <c r="J2" s="143" t="s">
        <v>267</v>
      </c>
      <c r="K2" s="144" t="s">
        <v>163</v>
      </c>
      <c r="L2" s="143" t="s">
        <v>271</v>
      </c>
      <c r="M2" s="143" t="s">
        <v>268</v>
      </c>
      <c r="N2" s="143" t="s">
        <v>236</v>
      </c>
      <c r="O2" s="292" t="s">
        <v>278</v>
      </c>
      <c r="P2" s="143" t="s">
        <v>106</v>
      </c>
      <c r="R2" s="143" t="s">
        <v>269</v>
      </c>
      <c r="S2" s="143" t="s">
        <v>270</v>
      </c>
      <c r="T2" s="143" t="s">
        <v>279</v>
      </c>
      <c r="U2" s="143"/>
      <c r="V2" s="143" t="s">
        <v>275</v>
      </c>
      <c r="W2" s="143" t="s">
        <v>237</v>
      </c>
      <c r="X2" s="143" t="s">
        <v>169</v>
      </c>
      <c r="Y2" s="143" t="s">
        <v>170</v>
      </c>
    </row>
    <row r="3" spans="1:25" s="288" customFormat="1" ht="13.5" customHeight="1">
      <c r="A3" s="282">
        <v>210023</v>
      </c>
      <c r="B3" s="283" t="s">
        <v>138</v>
      </c>
      <c r="C3" s="283" t="s">
        <v>231</v>
      </c>
      <c r="D3" s="284">
        <v>543797173.47</v>
      </c>
      <c r="E3" s="281">
        <v>52746.33</v>
      </c>
      <c r="F3" s="285">
        <f aca="true" t="shared" si="0" ref="F3:F34">E3/$E$55</f>
        <v>0.04908770412820394</v>
      </c>
      <c r="G3" s="281">
        <v>311695.71</v>
      </c>
      <c r="H3" s="285">
        <f aca="true" t="shared" si="1" ref="H3:H34">G3/$G$55</f>
        <v>0.05313783670622026</v>
      </c>
      <c r="I3" s="281">
        <v>314497.97</v>
      </c>
      <c r="J3" s="285">
        <f>I3/G3-1</f>
        <v>0.00899037076897824</v>
      </c>
      <c r="K3" s="361">
        <v>0.018286</v>
      </c>
      <c r="L3" s="285">
        <f>VLOOKUP(A3,'5.PAU All Payer CY14'!$A$4:$W$51,23,FALSE)</f>
        <v>0.11030436755338027</v>
      </c>
      <c r="M3" s="355">
        <f>K3*(1-L3)</f>
        <v>0.01626897433491889</v>
      </c>
      <c r="N3" s="286">
        <f aca="true" t="shared" si="2" ref="N3:N34">G3*M3</f>
        <v>5070.969506294321</v>
      </c>
      <c r="O3" s="293">
        <f>M3*$O$60</f>
        <v>0.00660075978848296</v>
      </c>
      <c r="P3" s="281">
        <f>G3*O3</f>
        <v>2057.4285088106462</v>
      </c>
      <c r="R3" s="285">
        <f aca="true" t="shared" si="3" ref="R3:R24">K3-V3</f>
        <v>0.002896000000000001</v>
      </c>
      <c r="S3" s="285">
        <f aca="true" t="shared" si="4" ref="S3:S24">L3-W3</f>
        <v>-0.004623491948780659</v>
      </c>
      <c r="T3" s="285">
        <f aca="true" t="shared" si="5" ref="T3:T24">O3-X3</f>
        <v>-0.000846183707818535</v>
      </c>
      <c r="U3" s="285"/>
      <c r="V3" s="285">
        <v>0.01539</v>
      </c>
      <c r="W3" s="285">
        <v>0.11492785950216093</v>
      </c>
      <c r="X3" s="287">
        <v>0.007446943496301495</v>
      </c>
      <c r="Y3" s="287">
        <v>0.006992</v>
      </c>
    </row>
    <row r="4" spans="1:25" s="288" customFormat="1" ht="13.5" customHeight="1">
      <c r="A4" s="282">
        <v>210061</v>
      </c>
      <c r="B4" s="283" t="s">
        <v>158</v>
      </c>
      <c r="C4" s="283" t="s">
        <v>231</v>
      </c>
      <c r="D4" s="284">
        <v>72714459.03</v>
      </c>
      <c r="E4" s="281">
        <v>7167.47</v>
      </c>
      <c r="F4" s="285">
        <f t="shared" si="0"/>
        <v>0.006670315199328141</v>
      </c>
      <c r="G4" s="281">
        <v>28724.91</v>
      </c>
      <c r="H4" s="285">
        <f t="shared" si="1"/>
        <v>0.004897018239297786</v>
      </c>
      <c r="I4" s="281">
        <v>28819.12</v>
      </c>
      <c r="J4" s="285">
        <f>I4/G4-1</f>
        <v>0.0032797317728758824</v>
      </c>
      <c r="K4" s="361">
        <v>0.012915</v>
      </c>
      <c r="L4" s="285">
        <f>VLOOKUP(A4,'5.PAU All Payer CY14'!$A$4:$W$51,23,FALSE)</f>
        <v>0.12293071450402895</v>
      </c>
      <c r="M4" s="356">
        <f aca="true" t="shared" si="6" ref="M4:M53">K4*(1-L4)</f>
        <v>0.011327349822180467</v>
      </c>
      <c r="N4" s="286">
        <f t="shared" si="2"/>
        <v>325.3771041806499</v>
      </c>
      <c r="O4" s="293">
        <f>M4*$O$60</f>
        <v>0.004595810017097872</v>
      </c>
      <c r="P4" s="281">
        <f aca="true" t="shared" si="7" ref="P4:P53">G4*O4</f>
        <v>132.01422911823485</v>
      </c>
      <c r="R4" s="285">
        <f t="shared" si="3"/>
        <v>0.001899999999999999</v>
      </c>
      <c r="S4" s="285">
        <f t="shared" si="4"/>
        <v>0.006000513678196734</v>
      </c>
      <c r="T4" s="285">
        <f t="shared" si="5"/>
        <v>-0.0007220916418004741</v>
      </c>
      <c r="U4" s="285"/>
      <c r="V4" s="285">
        <v>0.011015</v>
      </c>
      <c r="W4" s="285">
        <v>0.11693020082583222</v>
      </c>
      <c r="X4" s="287">
        <v>0.005317901658898346</v>
      </c>
      <c r="Y4" s="287">
        <v>0.006077</v>
      </c>
    </row>
    <row r="5" spans="1:25" s="288" customFormat="1" ht="13.5" customHeight="1">
      <c r="A5" s="282">
        <v>210043</v>
      </c>
      <c r="B5" s="283" t="s">
        <v>148</v>
      </c>
      <c r="C5" s="283" t="s">
        <v>231</v>
      </c>
      <c r="D5" s="284">
        <v>390528654.96</v>
      </c>
      <c r="E5" s="281">
        <v>33845.75</v>
      </c>
      <c r="F5" s="285">
        <f t="shared" si="0"/>
        <v>0.03149811867474303</v>
      </c>
      <c r="G5" s="281">
        <v>140480.92</v>
      </c>
      <c r="H5" s="285">
        <f t="shared" si="1"/>
        <v>0.02394916563753666</v>
      </c>
      <c r="I5" s="281">
        <v>142268.42</v>
      </c>
      <c r="J5" s="285">
        <f>I5/G5-1</f>
        <v>0.012724147877163583</v>
      </c>
      <c r="K5" s="361">
        <v>0.022337</v>
      </c>
      <c r="L5" s="285">
        <f>VLOOKUP(A5,'5.PAU All Payer CY14'!$A$4:$W$51,23,FALSE)</f>
        <v>0.18818030320738283</v>
      </c>
      <c r="M5" s="356">
        <f t="shared" si="6"/>
        <v>0.01813361656725669</v>
      </c>
      <c r="N5" s="286">
        <f t="shared" si="2"/>
        <v>2547.427138295462</v>
      </c>
      <c r="O5" s="293">
        <f>M5*$O$60</f>
        <v>0.0073572952168230905</v>
      </c>
      <c r="P5" s="281">
        <f t="shared" si="7"/>
        <v>1033.5596007709073</v>
      </c>
      <c r="R5" s="285">
        <f t="shared" si="3"/>
        <v>0.0017189999999999983</v>
      </c>
      <c r="S5" s="285">
        <f t="shared" si="4"/>
        <v>0.008931796356802746</v>
      </c>
      <c r="T5" s="285">
        <f t="shared" si="5"/>
        <v>-0.0018943503177854242</v>
      </c>
      <c r="U5" s="285"/>
      <c r="V5" s="285">
        <v>0.020618</v>
      </c>
      <c r="W5" s="285">
        <v>0.17924850685058008</v>
      </c>
      <c r="X5" s="287">
        <v>0.009251645534608515</v>
      </c>
      <c r="Y5" s="287">
        <v>0.0087735</v>
      </c>
    </row>
    <row r="6" spans="1:25" s="288" customFormat="1" ht="13.5" customHeight="1">
      <c r="A6" s="282">
        <v>210013</v>
      </c>
      <c r="B6" s="283" t="s">
        <v>132</v>
      </c>
      <c r="C6" s="283" t="s">
        <v>231</v>
      </c>
      <c r="D6" s="284">
        <v>122169932.22</v>
      </c>
      <c r="E6" s="281">
        <v>6591.35</v>
      </c>
      <c r="F6" s="285">
        <f t="shared" si="0"/>
        <v>0.0061341564162935526</v>
      </c>
      <c r="G6" s="281">
        <v>19978.26</v>
      </c>
      <c r="H6" s="285">
        <f t="shared" si="1"/>
        <v>0.0034058906924141234</v>
      </c>
      <c r="I6" s="281">
        <v>19944.36</v>
      </c>
      <c r="J6" s="285">
        <f>I6/G6-1</f>
        <v>-0.0016968444699386742</v>
      </c>
      <c r="K6" s="361">
        <v>-2.5E-05</v>
      </c>
      <c r="L6" s="285">
        <f>VLOOKUP(A6,'5.PAU All Payer CY14'!$A$4:$W$51,23,FALSE)</f>
        <v>0.2511199657301085</v>
      </c>
      <c r="M6" s="356">
        <f t="shared" si="6"/>
        <v>-1.872200085674729E-05</v>
      </c>
      <c r="N6" s="286">
        <f t="shared" si="2"/>
        <v>-0.37403300083632013</v>
      </c>
      <c r="O6" s="293">
        <f>M6*$O$60</f>
        <v>-7.596018524039128E-06</v>
      </c>
      <c r="P6" s="281">
        <f t="shared" si="7"/>
        <v>-0.15175523303806995</v>
      </c>
      <c r="R6" s="285">
        <f t="shared" si="3"/>
        <v>-0.000606</v>
      </c>
      <c r="S6" s="285">
        <f t="shared" si="4"/>
        <v>-0.00665574578477901</v>
      </c>
      <c r="T6" s="285">
        <f t="shared" si="5"/>
        <v>-0.00024335707155600175</v>
      </c>
      <c r="U6" s="285"/>
      <c r="V6" s="285">
        <v>0.000581</v>
      </c>
      <c r="W6" s="285">
        <v>0.2577757115148875</v>
      </c>
      <c r="X6" s="287">
        <v>0.0002357610530319626</v>
      </c>
      <c r="Y6" s="287">
        <v>0.0006475</v>
      </c>
    </row>
    <row r="7" spans="1:25" s="288" customFormat="1" ht="13.5" customHeight="1">
      <c r="A7" s="282">
        <v>210333</v>
      </c>
      <c r="B7" s="283" t="s">
        <v>193</v>
      </c>
      <c r="C7" s="283" t="s">
        <v>231</v>
      </c>
      <c r="D7" s="284">
        <v>16836939.9</v>
      </c>
      <c r="E7" s="281">
        <v>1141.98</v>
      </c>
      <c r="F7" s="285">
        <f t="shared" si="0"/>
        <v>0.0010627692269836848</v>
      </c>
      <c r="G7" s="281">
        <v>22508.26</v>
      </c>
      <c r="H7" s="285">
        <f t="shared" si="1"/>
        <v>0.00383720470333438</v>
      </c>
      <c r="I7" s="281">
        <v>22523.93</v>
      </c>
      <c r="J7" s="285">
        <f>I7/G7-1</f>
        <v>0.0006961888657763815</v>
      </c>
      <c r="K7" s="361">
        <v>0.004628</v>
      </c>
      <c r="L7" s="285">
        <v>0</v>
      </c>
      <c r="M7" s="356">
        <f t="shared" si="6"/>
        <v>0.004628</v>
      </c>
      <c r="N7" s="319">
        <f t="shared" si="2"/>
        <v>104.16822728</v>
      </c>
      <c r="O7" s="293">
        <f>M7*$O$60</f>
        <v>0.0018777038842290017</v>
      </c>
      <c r="P7" s="281">
        <f t="shared" si="7"/>
        <v>42.26384722923627</v>
      </c>
      <c r="Q7" s="321"/>
      <c r="R7" s="285">
        <f t="shared" si="3"/>
        <v>0.00252</v>
      </c>
      <c r="S7" s="285">
        <f t="shared" si="4"/>
        <v>0</v>
      </c>
      <c r="T7" s="285">
        <f t="shared" si="5"/>
        <v>0.0007252292518526255</v>
      </c>
      <c r="U7" s="285"/>
      <c r="V7" s="285">
        <v>0.002108</v>
      </c>
      <c r="W7" s="285"/>
      <c r="X7" s="287">
        <v>0.0011524746323763762</v>
      </c>
      <c r="Y7" s="287">
        <v>0.00112</v>
      </c>
    </row>
    <row r="8" spans="1:25" s="288" customFormat="1" ht="13.5" customHeight="1">
      <c r="A8" s="282">
        <v>210039</v>
      </c>
      <c r="B8" s="283" t="s">
        <v>146</v>
      </c>
      <c r="C8" s="283" t="s">
        <v>122</v>
      </c>
      <c r="D8" s="284">
        <v>140183084.59</v>
      </c>
      <c r="E8" s="281">
        <v>10635.26</v>
      </c>
      <c r="F8" s="285">
        <f t="shared" si="0"/>
        <v>0.009897570052864764</v>
      </c>
      <c r="G8" s="281">
        <v>69302.04</v>
      </c>
      <c r="H8" s="285">
        <f t="shared" si="1"/>
        <v>0.011814601121484617</v>
      </c>
      <c r="I8" s="281">
        <v>70326.87</v>
      </c>
      <c r="J8" s="285">
        <f aca="true" t="shared" si="8" ref="J8:J53">I8/G8-1</f>
        <v>0.01478787637420198</v>
      </c>
      <c r="K8" s="361">
        <v>0.023411</v>
      </c>
      <c r="L8" s="285">
        <f>VLOOKUP(A8,'5.PAU All Payer CY14'!$A$4:$W$51,23,FALSE)</f>
        <v>0.11183351016106478</v>
      </c>
      <c r="M8" s="356">
        <f t="shared" si="6"/>
        <v>0.020792865693619312</v>
      </c>
      <c r="N8" s="286">
        <f t="shared" si="2"/>
        <v>1440.9880100138332</v>
      </c>
      <c r="O8" s="293">
        <v>0.0052</v>
      </c>
      <c r="P8" s="281">
        <f t="shared" si="7"/>
        <v>360.37060799999995</v>
      </c>
      <c r="R8" s="285">
        <f t="shared" si="3"/>
        <v>0.014948000000000001</v>
      </c>
      <c r="S8" s="285">
        <f t="shared" si="4"/>
        <v>-0.014537185534489142</v>
      </c>
      <c r="T8" s="285">
        <f t="shared" si="5"/>
        <v>0.0011578511487053186</v>
      </c>
      <c r="U8" s="285"/>
      <c r="V8" s="285">
        <v>0.008463</v>
      </c>
      <c r="W8" s="285">
        <v>0.12637069569555393</v>
      </c>
      <c r="X8" s="287">
        <v>0.004042148851294681</v>
      </c>
      <c r="Y8" s="287">
        <v>0.0067585</v>
      </c>
    </row>
    <row r="9" spans="1:25" s="288" customFormat="1" ht="13.5" customHeight="1">
      <c r="A9" s="282">
        <v>210033</v>
      </c>
      <c r="B9" s="283" t="s">
        <v>144</v>
      </c>
      <c r="C9" s="283" t="s">
        <v>122</v>
      </c>
      <c r="D9" s="284">
        <v>240506672.16</v>
      </c>
      <c r="E9" s="281">
        <v>18196.48</v>
      </c>
      <c r="F9" s="285">
        <f t="shared" si="0"/>
        <v>0.016934323703938842</v>
      </c>
      <c r="G9" s="281">
        <v>85088.18</v>
      </c>
      <c r="H9" s="285">
        <f t="shared" si="1"/>
        <v>0.014505819840990034</v>
      </c>
      <c r="I9" s="281">
        <v>85784.36</v>
      </c>
      <c r="J9" s="285">
        <f t="shared" si="8"/>
        <v>0.008181864978190845</v>
      </c>
      <c r="K9" s="361">
        <v>0.023506</v>
      </c>
      <c r="L9" s="285">
        <f>VLOOKUP(A9,'5.PAU All Payer CY14'!$A$4:$W$51,23,FALSE)</f>
        <v>0.167669578461561</v>
      </c>
      <c r="M9" s="356">
        <f t="shared" si="6"/>
        <v>0.01956475888868255</v>
      </c>
      <c r="N9" s="286">
        <f t="shared" si="2"/>
        <v>1664.7297259768206</v>
      </c>
      <c r="O9" s="293">
        <v>0.0051</v>
      </c>
      <c r="P9" s="281">
        <f t="shared" si="7"/>
        <v>433.949718</v>
      </c>
      <c r="R9" s="285">
        <f t="shared" si="3"/>
        <v>0.016048</v>
      </c>
      <c r="S9" s="285">
        <f t="shared" si="4"/>
        <v>0.014324453956735289</v>
      </c>
      <c r="T9" s="285">
        <f t="shared" si="5"/>
        <v>0.0016478507729096085</v>
      </c>
      <c r="U9" s="285"/>
      <c r="V9" s="285">
        <v>0.007458</v>
      </c>
      <c r="W9" s="285">
        <v>0.1533451245048257</v>
      </c>
      <c r="X9" s="287">
        <v>0.003452149227090392</v>
      </c>
      <c r="Y9" s="287">
        <v>0.0058415</v>
      </c>
    </row>
    <row r="10" spans="1:25" s="288" customFormat="1" ht="13.5" customHeight="1">
      <c r="A10" s="282">
        <v>210035</v>
      </c>
      <c r="B10" s="283" t="s">
        <v>184</v>
      </c>
      <c r="C10" s="283" t="s">
        <v>231</v>
      </c>
      <c r="D10" s="284">
        <v>135835941.15</v>
      </c>
      <c r="E10" s="281">
        <v>11922.61</v>
      </c>
      <c r="F10" s="285">
        <f t="shared" si="0"/>
        <v>0.011095626029639705</v>
      </c>
      <c r="G10" s="281">
        <v>94154.43</v>
      </c>
      <c r="H10" s="285">
        <f t="shared" si="1"/>
        <v>0.016051432746723545</v>
      </c>
      <c r="I10" s="281">
        <v>95723.87</v>
      </c>
      <c r="J10" s="285">
        <f t="shared" si="8"/>
        <v>0.016668785526076757</v>
      </c>
      <c r="K10" s="361">
        <v>0.025305</v>
      </c>
      <c r="L10" s="285">
        <f>VLOOKUP(A10,'5.PAU All Payer CY14'!$A$4:$W$51,23,FALSE)</f>
        <v>0.18233246751116702</v>
      </c>
      <c r="M10" s="356">
        <f t="shared" si="6"/>
        <v>0.02069107690962992</v>
      </c>
      <c r="N10" s="286">
        <f t="shared" si="2"/>
        <v>1948.1565525123665</v>
      </c>
      <c r="O10" s="293">
        <f>M10*$O$60</f>
        <v>0.008394925557928501</v>
      </c>
      <c r="P10" s="281">
        <f t="shared" si="7"/>
        <v>790.41943079919</v>
      </c>
      <c r="R10" s="285">
        <f t="shared" si="3"/>
        <v>0.008742</v>
      </c>
      <c r="S10" s="285">
        <f t="shared" si="4"/>
        <v>-0.005457007077987935</v>
      </c>
      <c r="T10" s="285">
        <f t="shared" si="5"/>
        <v>0.0010401676271955332</v>
      </c>
      <c r="U10" s="285"/>
      <c r="V10" s="285">
        <v>0.016563</v>
      </c>
      <c r="W10" s="285">
        <v>0.18778947458915496</v>
      </c>
      <c r="X10" s="287">
        <v>0.007354757930732968</v>
      </c>
      <c r="Y10" s="287">
        <v>0.0087255</v>
      </c>
    </row>
    <row r="11" spans="1:25" s="288" customFormat="1" ht="13.5" customHeight="1">
      <c r="A11" s="282">
        <v>210030</v>
      </c>
      <c r="B11" s="283" t="s">
        <v>183</v>
      </c>
      <c r="C11" s="283" t="s">
        <v>122</v>
      </c>
      <c r="D11" s="284">
        <v>62284210.29</v>
      </c>
      <c r="E11" s="281">
        <v>3794.93</v>
      </c>
      <c r="F11" s="285">
        <f t="shared" si="0"/>
        <v>0.0035317035522138694</v>
      </c>
      <c r="G11" s="281">
        <v>17169.43</v>
      </c>
      <c r="H11" s="285">
        <f t="shared" si="1"/>
        <v>0.002927041785974145</v>
      </c>
      <c r="I11" s="281">
        <v>16931.78</v>
      </c>
      <c r="J11" s="285">
        <f t="shared" si="8"/>
        <v>-0.013841461248276787</v>
      </c>
      <c r="K11" s="361">
        <v>-0.007343</v>
      </c>
      <c r="L11" s="285">
        <f>VLOOKUP(A11,'5.PAU All Payer CY14'!$A$4:$W$51,23,FALSE)</f>
        <v>0.16804366831207165</v>
      </c>
      <c r="M11" s="356">
        <f t="shared" si="6"/>
        <v>-0.006109055343584458</v>
      </c>
      <c r="N11" s="286">
        <f t="shared" si="2"/>
        <v>-104.88899808779931</v>
      </c>
      <c r="O11" s="293">
        <v>0.004</v>
      </c>
      <c r="P11" s="281">
        <f t="shared" si="7"/>
        <v>68.67772000000001</v>
      </c>
      <c r="R11" s="285">
        <f t="shared" si="3"/>
        <v>-0.01308</v>
      </c>
      <c r="S11" s="285">
        <f t="shared" si="4"/>
        <v>-0.02566129976893941</v>
      </c>
      <c r="T11" s="285">
        <f t="shared" si="5"/>
        <v>0.0014710537329480516</v>
      </c>
      <c r="U11" s="285"/>
      <c r="V11" s="285">
        <v>0.005737</v>
      </c>
      <c r="W11" s="285">
        <v>0.19370496808101106</v>
      </c>
      <c r="X11" s="287">
        <v>0.0025289462670519485</v>
      </c>
      <c r="Y11" s="287">
        <v>0.005874</v>
      </c>
    </row>
    <row r="12" spans="1:25" s="288" customFormat="1" ht="13.5" customHeight="1">
      <c r="A12" s="282">
        <v>210051</v>
      </c>
      <c r="B12" s="283" t="s">
        <v>153</v>
      </c>
      <c r="C12" s="283" t="s">
        <v>231</v>
      </c>
      <c r="D12" s="284">
        <v>206204360.19</v>
      </c>
      <c r="E12" s="281">
        <v>15900.18</v>
      </c>
      <c r="F12" s="285">
        <f t="shared" si="0"/>
        <v>0.014797301185223422</v>
      </c>
      <c r="G12" s="281">
        <v>111185.57</v>
      </c>
      <c r="H12" s="285">
        <f t="shared" si="1"/>
        <v>0.01895489887476482</v>
      </c>
      <c r="I12" s="281">
        <v>112746.76</v>
      </c>
      <c r="J12" s="285">
        <f t="shared" si="8"/>
        <v>0.014041300503293552</v>
      </c>
      <c r="K12" s="361">
        <v>0.027299</v>
      </c>
      <c r="L12" s="285">
        <f>VLOOKUP(A12,'5.PAU All Payer CY14'!$A$4:$W$51,23,FALSE)</f>
        <v>0.2036345477506393</v>
      </c>
      <c r="M12" s="356">
        <f t="shared" si="6"/>
        <v>0.0217399804809553</v>
      </c>
      <c r="N12" s="286">
        <f t="shared" si="2"/>
        <v>2417.172121563889</v>
      </c>
      <c r="O12" s="293">
        <f>M12*$O$60</f>
        <v>0.008820493904959474</v>
      </c>
      <c r="P12" s="281">
        <f t="shared" si="7"/>
        <v>980.711642504445</v>
      </c>
      <c r="R12" s="285">
        <f t="shared" si="3"/>
        <v>0.005653000000000002</v>
      </c>
      <c r="S12" s="285">
        <f t="shared" si="4"/>
        <v>-0.0032259198289365243</v>
      </c>
      <c r="T12" s="285">
        <f t="shared" si="5"/>
        <v>-0.0005656675245733992</v>
      </c>
      <c r="U12" s="285"/>
      <c r="V12" s="285">
        <v>0.021646</v>
      </c>
      <c r="W12" s="285">
        <v>0.20686046757957582</v>
      </c>
      <c r="X12" s="287">
        <v>0.009386161429532873</v>
      </c>
      <c r="Y12" s="287">
        <v>0.0084145</v>
      </c>
    </row>
    <row r="13" spans="1:25" s="288" customFormat="1" ht="13.5" customHeight="1">
      <c r="A13" s="282">
        <v>210010</v>
      </c>
      <c r="B13" s="283" t="s">
        <v>181</v>
      </c>
      <c r="C13" s="283" t="s">
        <v>122</v>
      </c>
      <c r="D13" s="284">
        <v>59166800.77</v>
      </c>
      <c r="E13" s="281">
        <v>3560.11</v>
      </c>
      <c r="F13" s="285">
        <f t="shared" si="0"/>
        <v>0.0033131712925593146</v>
      </c>
      <c r="G13" s="281">
        <v>14899.6</v>
      </c>
      <c r="H13" s="285">
        <f t="shared" si="1"/>
        <v>0.002540081516643265</v>
      </c>
      <c r="I13" s="281">
        <v>14945.31</v>
      </c>
      <c r="J13" s="285">
        <f t="shared" si="8"/>
        <v>0.0030678675937607647</v>
      </c>
      <c r="K13" s="361">
        <v>0.015179</v>
      </c>
      <c r="L13" s="285">
        <f>VLOOKUP(A13,'5.PAU All Payer CY14'!$A$4:$W$51,23,FALSE)</f>
        <v>0.2202126456036347</v>
      </c>
      <c r="M13" s="356">
        <f t="shared" si="6"/>
        <v>0.011836392252382429</v>
      </c>
      <c r="N13" s="286">
        <f t="shared" si="2"/>
        <v>176.35751000359724</v>
      </c>
      <c r="O13" s="293">
        <v>0.0041</v>
      </c>
      <c r="P13" s="281">
        <f t="shared" si="7"/>
        <v>61.08836000000001</v>
      </c>
      <c r="R13" s="285">
        <f t="shared" si="3"/>
        <v>0.013691</v>
      </c>
      <c r="S13" s="285">
        <f t="shared" si="4"/>
        <v>0.042705791185897124</v>
      </c>
      <c r="T13" s="285">
        <f t="shared" si="5"/>
        <v>0.003430892363115054</v>
      </c>
      <c r="U13" s="285"/>
      <c r="V13" s="285">
        <v>0.001488</v>
      </c>
      <c r="W13" s="285">
        <v>0.1775068544177376</v>
      </c>
      <c r="X13" s="287">
        <v>0.0006691076368849461</v>
      </c>
      <c r="Y13" s="287">
        <v>0.003008</v>
      </c>
    </row>
    <row r="14" spans="1:25" s="288" customFormat="1" ht="13.5" customHeight="1">
      <c r="A14" s="282">
        <v>210037</v>
      </c>
      <c r="B14" s="283" t="s">
        <v>185</v>
      </c>
      <c r="C14" s="283" t="s">
        <v>122</v>
      </c>
      <c r="D14" s="284">
        <v>178352220.07</v>
      </c>
      <c r="E14" s="281">
        <v>13746.95</v>
      </c>
      <c r="F14" s="285">
        <f t="shared" si="0"/>
        <v>0.012793424950422395</v>
      </c>
      <c r="G14" s="281">
        <v>57949.15</v>
      </c>
      <c r="H14" s="285">
        <f t="shared" si="1"/>
        <v>0.009879162180205379</v>
      </c>
      <c r="I14" s="281">
        <v>57903.98</v>
      </c>
      <c r="J14" s="285">
        <f t="shared" si="8"/>
        <v>-0.0007794764893013229</v>
      </c>
      <c r="K14" s="361">
        <v>0.01281</v>
      </c>
      <c r="L14" s="285">
        <f>VLOOKUP(A14,'5.PAU All Payer CY14'!$A$4:$W$51,23,FALSE)</f>
        <v>0.14519853106777078</v>
      </c>
      <c r="M14" s="356">
        <f t="shared" si="6"/>
        <v>0.010950006817021856</v>
      </c>
      <c r="N14" s="286">
        <f t="shared" si="2"/>
        <v>634.5435875406221</v>
      </c>
      <c r="O14" s="293">
        <v>0.0041</v>
      </c>
      <c r="P14" s="281">
        <f t="shared" si="7"/>
        <v>237.59151500000002</v>
      </c>
      <c r="R14" s="285">
        <f t="shared" si="3"/>
        <v>0.004597</v>
      </c>
      <c r="S14" s="285">
        <f t="shared" si="4"/>
        <v>0.013192949697904188</v>
      </c>
      <c r="T14" s="285">
        <f t="shared" si="5"/>
        <v>0.00020255923246780038</v>
      </c>
      <c r="U14" s="285"/>
      <c r="V14" s="285">
        <v>0.008213</v>
      </c>
      <c r="W14" s="285">
        <v>0.1320055813698666</v>
      </c>
      <c r="X14" s="287">
        <v>0.0038974407675322</v>
      </c>
      <c r="Y14" s="287">
        <v>0.0056345</v>
      </c>
    </row>
    <row r="15" spans="1:25" s="288" customFormat="1" ht="13.5" customHeight="1">
      <c r="A15" s="282">
        <v>210015</v>
      </c>
      <c r="B15" s="283" t="s">
        <v>133</v>
      </c>
      <c r="C15" s="283" t="s">
        <v>231</v>
      </c>
      <c r="D15" s="284">
        <v>475139236.03</v>
      </c>
      <c r="E15" s="281">
        <v>40266.44</v>
      </c>
      <c r="F15" s="285">
        <f t="shared" si="0"/>
        <v>0.03747345252297319</v>
      </c>
      <c r="G15" s="281">
        <v>151592.85</v>
      </c>
      <c r="H15" s="285">
        <f t="shared" si="1"/>
        <v>0.025843525755072285</v>
      </c>
      <c r="I15" s="281">
        <v>152314.97</v>
      </c>
      <c r="J15" s="285">
        <f t="shared" si="8"/>
        <v>0.004763549204332529</v>
      </c>
      <c r="K15" s="361">
        <v>0.009687</v>
      </c>
      <c r="L15" s="285">
        <f>VLOOKUP(A15,'5.PAU All Payer CY14'!$A$4:$W$51,23,FALSE)</f>
        <v>0.18417362250654712</v>
      </c>
      <c r="M15" s="356">
        <f t="shared" si="6"/>
        <v>0.007902910118779078</v>
      </c>
      <c r="N15" s="286">
        <f t="shared" si="2"/>
        <v>1198.0246681995588</v>
      </c>
      <c r="O15" s="293">
        <f>M15*$O$60</f>
        <v>0.00320642286662579</v>
      </c>
      <c r="P15" s="281">
        <f t="shared" si="7"/>
        <v>486.0707806569734</v>
      </c>
      <c r="R15" s="285">
        <f t="shared" si="3"/>
        <v>-0.0022640000000000004</v>
      </c>
      <c r="S15" s="285">
        <f t="shared" si="4"/>
        <v>0.021615587046865614</v>
      </c>
      <c r="T15" s="285">
        <f t="shared" si="5"/>
        <v>-0.002265245085106211</v>
      </c>
      <c r="U15" s="285"/>
      <c r="V15" s="285">
        <v>0.011951</v>
      </c>
      <c r="W15" s="285">
        <v>0.1625580354596815</v>
      </c>
      <c r="X15" s="287">
        <v>0.005471667951732001</v>
      </c>
      <c r="Y15" s="287">
        <v>0.0040565</v>
      </c>
    </row>
    <row r="16" spans="1:25" s="288" customFormat="1" ht="13.5" customHeight="1">
      <c r="A16" s="282">
        <v>210005</v>
      </c>
      <c r="B16" s="283" t="s">
        <v>126</v>
      </c>
      <c r="C16" s="283" t="s">
        <v>231</v>
      </c>
      <c r="D16" s="284">
        <v>322491747.74</v>
      </c>
      <c r="E16" s="281">
        <v>29019.27</v>
      </c>
      <c r="F16" s="285">
        <f t="shared" si="0"/>
        <v>0.02700641617675514</v>
      </c>
      <c r="G16" s="281">
        <v>174025.68</v>
      </c>
      <c r="H16" s="285">
        <f t="shared" si="1"/>
        <v>0.029667871163606776</v>
      </c>
      <c r="I16" s="281">
        <v>175294.93</v>
      </c>
      <c r="J16" s="285">
        <f t="shared" si="8"/>
        <v>0.007293463815225332</v>
      </c>
      <c r="K16" s="361">
        <v>0.017085</v>
      </c>
      <c r="L16" s="285">
        <f>VLOOKUP(A16,'5.PAU All Payer CY14'!$A$4:$W$51,23,FALSE)</f>
        <v>0.14066258285797686</v>
      </c>
      <c r="M16" s="356">
        <f t="shared" si="6"/>
        <v>0.014681779771871465</v>
      </c>
      <c r="N16" s="286">
        <f t="shared" si="2"/>
        <v>2555.0067084101765</v>
      </c>
      <c r="O16" s="293">
        <f>M16*$O$60</f>
        <v>0.005956792330388469</v>
      </c>
      <c r="P16" s="281">
        <f t="shared" si="7"/>
        <v>1036.634835914638</v>
      </c>
      <c r="R16" s="285">
        <f t="shared" si="3"/>
        <v>0.0007950000000000006</v>
      </c>
      <c r="S16" s="285">
        <f t="shared" si="4"/>
        <v>-0.008379742099436344</v>
      </c>
      <c r="T16" s="285">
        <f t="shared" si="5"/>
        <v>-0.0016218220947432282</v>
      </c>
      <c r="U16" s="285"/>
      <c r="V16" s="285">
        <v>0.01629</v>
      </c>
      <c r="W16" s="285">
        <v>0.1490423249574132</v>
      </c>
      <c r="X16" s="287">
        <v>0.007578614425131697</v>
      </c>
      <c r="Y16" s="287">
        <v>0.007736</v>
      </c>
    </row>
    <row r="17" spans="1:25" s="288" customFormat="1" ht="13.5" customHeight="1">
      <c r="A17" s="282">
        <v>210060</v>
      </c>
      <c r="B17" s="283" t="s">
        <v>157</v>
      </c>
      <c r="C17" s="283" t="s">
        <v>231</v>
      </c>
      <c r="D17" s="284">
        <v>42133474.52</v>
      </c>
      <c r="E17" s="281">
        <v>3532.26</v>
      </c>
      <c r="F17" s="285">
        <f t="shared" si="0"/>
        <v>0.003287253042702491</v>
      </c>
      <c r="G17" s="281">
        <v>40431.82</v>
      </c>
      <c r="H17" s="285">
        <f t="shared" si="1"/>
        <v>0.006892810455733543</v>
      </c>
      <c r="I17" s="281">
        <v>40801.8</v>
      </c>
      <c r="J17" s="285">
        <f t="shared" si="8"/>
        <v>0.009150713472705574</v>
      </c>
      <c r="K17" s="361">
        <v>0.021891</v>
      </c>
      <c r="L17" s="285">
        <f>VLOOKUP(A17,'5.PAU All Payer CY14'!$A$4:$W$51,23,FALSE)</f>
        <v>0.1970844541210151</v>
      </c>
      <c r="M17" s="356">
        <f t="shared" si="6"/>
        <v>0.01757662421483686</v>
      </c>
      <c r="N17" s="286">
        <f t="shared" si="2"/>
        <v>710.6549064619252</v>
      </c>
      <c r="O17" s="293">
        <f>M17*$O$60</f>
        <v>0.0071313084615023115</v>
      </c>
      <c r="P17" s="281">
        <f t="shared" si="7"/>
        <v>288.33178007993837</v>
      </c>
      <c r="R17" s="285">
        <f t="shared" si="3"/>
        <v>0.0005180000000000011</v>
      </c>
      <c r="S17" s="285">
        <f t="shared" si="4"/>
        <v>0.04086470815054383</v>
      </c>
      <c r="T17" s="285">
        <f t="shared" si="5"/>
        <v>-0.002728207895495525</v>
      </c>
      <c r="U17" s="285"/>
      <c r="V17" s="285">
        <v>0.021373</v>
      </c>
      <c r="W17" s="285">
        <v>0.15621974597047128</v>
      </c>
      <c r="X17" s="287">
        <v>0.009859516356997836</v>
      </c>
      <c r="Y17" s="287">
        <v>0.0086425</v>
      </c>
    </row>
    <row r="18" spans="1:25" s="288" customFormat="1" ht="13.5" customHeight="1">
      <c r="A18" s="282">
        <v>210044</v>
      </c>
      <c r="B18" s="283" t="s">
        <v>149</v>
      </c>
      <c r="C18" s="283" t="s">
        <v>231</v>
      </c>
      <c r="D18" s="284">
        <v>410930520.55</v>
      </c>
      <c r="E18" s="281">
        <v>34873.14</v>
      </c>
      <c r="F18" s="285">
        <f t="shared" si="0"/>
        <v>0.032454246169191944</v>
      </c>
      <c r="G18" s="281">
        <v>159766.52</v>
      </c>
      <c r="H18" s="285">
        <f t="shared" si="1"/>
        <v>0.027236971759672508</v>
      </c>
      <c r="I18" s="281">
        <v>160561.05</v>
      </c>
      <c r="J18" s="285">
        <f t="shared" si="8"/>
        <v>0.004973069451597256</v>
      </c>
      <c r="K18" s="361">
        <v>0.010773</v>
      </c>
      <c r="L18" s="285">
        <f>VLOOKUP(A18,'5.PAU All Payer CY14'!$A$4:$W$51,23,FALSE)</f>
        <v>0.10106142624936448</v>
      </c>
      <c r="M18" s="356">
        <f t="shared" si="6"/>
        <v>0.009684265255015595</v>
      </c>
      <c r="N18" s="286">
        <f t="shared" si="2"/>
        <v>1547.221358550754</v>
      </c>
      <c r="O18" s="293">
        <f>M18*$O$60</f>
        <v>0.003929166483415459</v>
      </c>
      <c r="P18" s="281">
        <f t="shared" si="7"/>
        <v>627.7492555559256</v>
      </c>
      <c r="R18" s="285">
        <f t="shared" si="3"/>
        <v>0.0015259999999999996</v>
      </c>
      <c r="S18" s="285">
        <f t="shared" si="4"/>
        <v>-0.008357055018716877</v>
      </c>
      <c r="T18" s="285">
        <f t="shared" si="5"/>
        <v>-0.0005731425819977759</v>
      </c>
      <c r="U18" s="285"/>
      <c r="V18" s="285">
        <v>0.009247</v>
      </c>
      <c r="W18" s="285">
        <v>0.10941848126808136</v>
      </c>
      <c r="X18" s="287">
        <v>0.004502309065413235</v>
      </c>
      <c r="Y18" s="287">
        <v>0.003874</v>
      </c>
    </row>
    <row r="19" spans="1:25" s="288" customFormat="1" ht="13.5" customHeight="1">
      <c r="A19" s="282">
        <v>210017</v>
      </c>
      <c r="B19" s="283" t="s">
        <v>135</v>
      </c>
      <c r="C19" s="283" t="s">
        <v>122</v>
      </c>
      <c r="D19" s="284">
        <v>34822569.99</v>
      </c>
      <c r="E19" s="281">
        <v>3313.61</v>
      </c>
      <c r="F19" s="285">
        <f t="shared" si="0"/>
        <v>0.0030837691887996353</v>
      </c>
      <c r="G19" s="281">
        <v>20641.55</v>
      </c>
      <c r="H19" s="285">
        <f t="shared" si="1"/>
        <v>0.0035189682696091028</v>
      </c>
      <c r="I19" s="281">
        <v>20754.33</v>
      </c>
      <c r="J19" s="285">
        <f t="shared" si="8"/>
        <v>0.005463736977116662</v>
      </c>
      <c r="K19" s="361">
        <v>0.01977</v>
      </c>
      <c r="L19" s="285">
        <f>VLOOKUP(A19,'5.PAU All Payer CY14'!$A$4:$W$51,23,FALSE)</f>
        <v>0.10478390985750467</v>
      </c>
      <c r="M19" s="356">
        <f t="shared" si="6"/>
        <v>0.017698422102117133</v>
      </c>
      <c r="N19" s="286">
        <f t="shared" si="2"/>
        <v>365.32286474195587</v>
      </c>
      <c r="O19" s="293">
        <v>0.0027</v>
      </c>
      <c r="P19" s="281">
        <f t="shared" si="7"/>
        <v>55.732185</v>
      </c>
      <c r="R19" s="285">
        <f t="shared" si="3"/>
        <v>0.020784999999999998</v>
      </c>
      <c r="S19" s="285">
        <f t="shared" si="4"/>
        <v>-0.009300353330747024</v>
      </c>
      <c r="T19" s="285">
        <f t="shared" si="5"/>
        <v>0.0027</v>
      </c>
      <c r="U19" s="285"/>
      <c r="V19" s="285">
        <v>-0.001015</v>
      </c>
      <c r="W19" s="285">
        <v>0.1140842631882517</v>
      </c>
      <c r="X19" s="287">
        <v>0</v>
      </c>
      <c r="Y19" s="287">
        <v>0.002966</v>
      </c>
    </row>
    <row r="20" spans="1:25" s="288" customFormat="1" ht="13.5" customHeight="1">
      <c r="A20" s="282">
        <v>210087</v>
      </c>
      <c r="B20" s="283" t="s">
        <v>191</v>
      </c>
      <c r="C20" s="283" t="s">
        <v>231</v>
      </c>
      <c r="D20" s="284">
        <v>13606021.14</v>
      </c>
      <c r="E20" s="281">
        <v>1271.71</v>
      </c>
      <c r="F20" s="285">
        <f t="shared" si="0"/>
        <v>0.0011835008088122575</v>
      </c>
      <c r="G20" s="281">
        <v>21646.07</v>
      </c>
      <c r="H20" s="285">
        <f t="shared" si="1"/>
        <v>0.003690218684727528</v>
      </c>
      <c r="I20" s="281">
        <v>21811.29</v>
      </c>
      <c r="J20" s="285">
        <f t="shared" si="8"/>
        <v>0.007632794313240376</v>
      </c>
      <c r="K20" s="361">
        <v>0.004849</v>
      </c>
      <c r="L20" s="285">
        <v>0</v>
      </c>
      <c r="M20" s="356">
        <f t="shared" si="6"/>
        <v>0.004849</v>
      </c>
      <c r="N20" s="286">
        <f t="shared" si="2"/>
        <v>104.96179343</v>
      </c>
      <c r="O20" s="293">
        <f aca="true" t="shared" si="9" ref="O20:O30">M20*$O$60</f>
        <v>0.0019673695191500494</v>
      </c>
      <c r="P20" s="281">
        <f t="shared" si="7"/>
        <v>42.58581832738831</v>
      </c>
      <c r="R20" s="285">
        <f t="shared" si="3"/>
        <v>-0.0038850000000000004</v>
      </c>
      <c r="S20" s="285">
        <f t="shared" si="4"/>
        <v>0</v>
      </c>
      <c r="T20" s="285">
        <f t="shared" si="5"/>
        <v>-0.002807636856170287</v>
      </c>
      <c r="U20" s="285"/>
      <c r="V20" s="285">
        <v>0.008734</v>
      </c>
      <c r="W20" s="285"/>
      <c r="X20" s="287">
        <v>0.0047750063753203365</v>
      </c>
      <c r="Y20" s="287">
        <v>0.0025725</v>
      </c>
    </row>
    <row r="21" spans="1:25" s="288" customFormat="1" ht="13.5" customHeight="1">
      <c r="A21" s="282">
        <v>210056</v>
      </c>
      <c r="B21" s="283" t="s">
        <v>155</v>
      </c>
      <c r="C21" s="283" t="s">
        <v>231</v>
      </c>
      <c r="D21" s="284">
        <v>297433385.13</v>
      </c>
      <c r="E21" s="281">
        <v>23665.32</v>
      </c>
      <c r="F21" s="285">
        <f t="shared" si="0"/>
        <v>0.02202383040221504</v>
      </c>
      <c r="G21" s="281">
        <v>67637.48</v>
      </c>
      <c r="H21" s="285">
        <f t="shared" si="1"/>
        <v>0.011530827188671407</v>
      </c>
      <c r="I21" s="281">
        <v>67852.07</v>
      </c>
      <c r="J21" s="285">
        <f t="shared" si="8"/>
        <v>0.0031726492471335632</v>
      </c>
      <c r="K21" s="361">
        <v>0.01053</v>
      </c>
      <c r="L21" s="285">
        <f>VLOOKUP(A21,'5.PAU All Payer CY14'!$A$4:$W$51,23,FALSE)</f>
        <v>0.18038021887489117</v>
      </c>
      <c r="M21" s="356">
        <f t="shared" si="6"/>
        <v>0.008630596295247395</v>
      </c>
      <c r="N21" s="286">
        <f t="shared" si="2"/>
        <v>583.7517843078698</v>
      </c>
      <c r="O21" s="293">
        <f t="shared" si="9"/>
        <v>0.003501664690319461</v>
      </c>
      <c r="P21" s="281">
        <f t="shared" si="7"/>
        <v>236.84377545818873</v>
      </c>
      <c r="R21" s="285">
        <f t="shared" si="3"/>
        <v>-0.007080000000000001</v>
      </c>
      <c r="S21" s="285">
        <f t="shared" si="4"/>
        <v>-0.011042375622844686</v>
      </c>
      <c r="T21" s="285">
        <f t="shared" si="5"/>
        <v>-0.004283032528367967</v>
      </c>
      <c r="U21" s="285"/>
      <c r="V21" s="285">
        <v>0.01761</v>
      </c>
      <c r="W21" s="285">
        <v>0.19142259449773585</v>
      </c>
      <c r="X21" s="287">
        <v>0.0077846972186874286</v>
      </c>
      <c r="Y21" s="287">
        <v>0.0060165</v>
      </c>
    </row>
    <row r="22" spans="1:25" s="288" customFormat="1" ht="13.5" customHeight="1">
      <c r="A22" s="282">
        <v>210034</v>
      </c>
      <c r="B22" s="283" t="s">
        <v>145</v>
      </c>
      <c r="C22" s="283" t="s">
        <v>231</v>
      </c>
      <c r="D22" s="284">
        <v>204541922.74</v>
      </c>
      <c r="E22" s="281">
        <v>14446.21</v>
      </c>
      <c r="F22" s="285">
        <f t="shared" si="0"/>
        <v>0.013444182415229667</v>
      </c>
      <c r="G22" s="281">
        <v>58189.81</v>
      </c>
      <c r="H22" s="285">
        <f t="shared" si="1"/>
        <v>0.009920189859995128</v>
      </c>
      <c r="I22" s="281">
        <v>58475.34</v>
      </c>
      <c r="J22" s="285">
        <f t="shared" si="8"/>
        <v>0.00490687287000946</v>
      </c>
      <c r="K22" s="361">
        <v>0.007121</v>
      </c>
      <c r="L22" s="285">
        <f>VLOOKUP(A22,'5.PAU All Payer CY14'!$A$4:$W$51,23,FALSE)</f>
        <v>0.1589404109902475</v>
      </c>
      <c r="M22" s="356">
        <f t="shared" si="6"/>
        <v>0.005989185333338447</v>
      </c>
      <c r="N22" s="286">
        <f t="shared" si="2"/>
        <v>348.5095566017509</v>
      </c>
      <c r="O22" s="293">
        <f t="shared" si="9"/>
        <v>0.002429973328387418</v>
      </c>
      <c r="P22" s="281">
        <f t="shared" si="7"/>
        <v>141.39968628393146</v>
      </c>
      <c r="R22" s="285">
        <f t="shared" si="3"/>
        <v>-0.0032830000000000003</v>
      </c>
      <c r="S22" s="285">
        <f t="shared" si="4"/>
        <v>0.0018301969479181668</v>
      </c>
      <c r="T22" s="285">
        <f t="shared" si="5"/>
        <v>-0.0023644005980455315</v>
      </c>
      <c r="U22" s="285"/>
      <c r="V22" s="285">
        <v>0.010404</v>
      </c>
      <c r="W22" s="285">
        <v>0.15711021404232933</v>
      </c>
      <c r="X22" s="287">
        <v>0.00479437392643295</v>
      </c>
      <c r="Y22" s="287">
        <v>0.004087</v>
      </c>
    </row>
    <row r="23" spans="1:25" s="288" customFormat="1" ht="13.5" customHeight="1">
      <c r="A23" s="282">
        <v>210006</v>
      </c>
      <c r="B23" s="283" t="s">
        <v>127</v>
      </c>
      <c r="C23" s="283" t="s">
        <v>231</v>
      </c>
      <c r="D23" s="284">
        <v>100908314.76</v>
      </c>
      <c r="E23" s="281">
        <v>7911.55</v>
      </c>
      <c r="F23" s="285">
        <f t="shared" si="0"/>
        <v>0.007362783829614154</v>
      </c>
      <c r="G23" s="281">
        <v>30894.34</v>
      </c>
      <c r="H23" s="285">
        <f t="shared" si="1"/>
        <v>0.005266862332068827</v>
      </c>
      <c r="I23" s="281">
        <v>30838.47</v>
      </c>
      <c r="J23" s="285">
        <f t="shared" si="8"/>
        <v>-0.0018084218662706153</v>
      </c>
      <c r="K23" s="361">
        <v>0.008994</v>
      </c>
      <c r="L23" s="285">
        <f>VLOOKUP(A23,'5.PAU All Payer CY14'!$A$4:$W$51,23,FALSE)</f>
        <v>0.1932876209741635</v>
      </c>
      <c r="M23" s="356">
        <f t="shared" si="6"/>
        <v>0.007255571136958373</v>
      </c>
      <c r="N23" s="286">
        <f t="shared" si="2"/>
        <v>224.15608159937855</v>
      </c>
      <c r="O23" s="293">
        <f t="shared" si="9"/>
        <v>0.0029437800575122237</v>
      </c>
      <c r="P23" s="281">
        <f t="shared" si="7"/>
        <v>90.94614198200219</v>
      </c>
      <c r="R23" s="285">
        <f t="shared" si="3"/>
        <v>-0.003932999999999999</v>
      </c>
      <c r="S23" s="285">
        <f t="shared" si="4"/>
        <v>0.03166909062638107</v>
      </c>
      <c r="T23" s="285">
        <f t="shared" si="5"/>
        <v>-0.0029813813807808413</v>
      </c>
      <c r="U23" s="285"/>
      <c r="V23" s="285">
        <v>0.012927</v>
      </c>
      <c r="W23" s="285">
        <v>0.16161853034778242</v>
      </c>
      <c r="X23" s="287">
        <v>0.005925161438293065</v>
      </c>
      <c r="Y23" s="287">
        <v>0.006494</v>
      </c>
    </row>
    <row r="24" spans="1:25" s="288" customFormat="1" ht="13.5" customHeight="1">
      <c r="A24" s="282">
        <v>210004</v>
      </c>
      <c r="B24" s="283" t="s">
        <v>125</v>
      </c>
      <c r="C24" s="283" t="s">
        <v>231</v>
      </c>
      <c r="D24" s="284">
        <v>427863835.57</v>
      </c>
      <c r="E24" s="281">
        <v>38337.05</v>
      </c>
      <c r="F24" s="285">
        <f t="shared" si="0"/>
        <v>0.03567789014985803</v>
      </c>
      <c r="G24" s="281">
        <v>349575.74</v>
      </c>
      <c r="H24" s="285">
        <f t="shared" si="1"/>
        <v>0.05959561839518455</v>
      </c>
      <c r="I24" s="281">
        <v>352557.84</v>
      </c>
      <c r="J24" s="285">
        <f t="shared" si="8"/>
        <v>0.00853062629574941</v>
      </c>
      <c r="K24" s="361">
        <v>0.011622</v>
      </c>
      <c r="L24" s="285">
        <f>VLOOKUP(A24,'5.PAU All Payer CY14'!$A$4:$W$51,23,FALSE)</f>
        <v>0.14817792581363728</v>
      </c>
      <c r="M24" s="356">
        <f t="shared" si="6"/>
        <v>0.009899876146193908</v>
      </c>
      <c r="N24" s="286">
        <f t="shared" si="2"/>
        <v>3460.7565297140836</v>
      </c>
      <c r="O24" s="293">
        <f t="shared" si="9"/>
        <v>0.00401664561216386</v>
      </c>
      <c r="P24" s="281">
        <f t="shared" si="7"/>
        <v>1404.1218621899343</v>
      </c>
      <c r="R24" s="285">
        <f t="shared" si="3"/>
        <v>-0.0027469999999999994</v>
      </c>
      <c r="S24" s="285">
        <f t="shared" si="4"/>
        <v>0.012604119767313654</v>
      </c>
      <c r="T24" s="285">
        <f t="shared" si="5"/>
        <v>-0.0027740651270582667</v>
      </c>
      <c r="U24" s="285"/>
      <c r="V24" s="285">
        <v>0.014369</v>
      </c>
      <c r="W24" s="285">
        <v>0.13557380604632363</v>
      </c>
      <c r="X24" s="287">
        <v>0.006790710739222126</v>
      </c>
      <c r="Y24" s="287">
        <v>0.004689</v>
      </c>
    </row>
    <row r="25" spans="1:25" s="288" customFormat="1" ht="13.5" customHeight="1">
      <c r="A25" s="282">
        <v>210065</v>
      </c>
      <c r="B25" s="283" t="s">
        <v>190</v>
      </c>
      <c r="C25" s="283" t="s">
        <v>277</v>
      </c>
      <c r="D25" s="284">
        <v>10615784.62</v>
      </c>
      <c r="E25" s="281">
        <v>921.43</v>
      </c>
      <c r="F25" s="285">
        <f t="shared" si="0"/>
        <v>0.0008575171621390712</v>
      </c>
      <c r="G25" s="281">
        <v>8523.59</v>
      </c>
      <c r="H25" s="285">
        <f t="shared" si="1"/>
        <v>0.00145310031238727</v>
      </c>
      <c r="I25" s="281">
        <v>8610.32</v>
      </c>
      <c r="J25" s="285">
        <f t="shared" si="8"/>
        <v>0.010175289989311942</v>
      </c>
      <c r="K25" s="361">
        <v>0.013705</v>
      </c>
      <c r="L25" s="285">
        <v>0</v>
      </c>
      <c r="M25" s="356">
        <f t="shared" si="6"/>
        <v>0.013705</v>
      </c>
      <c r="N25" s="286">
        <f t="shared" si="2"/>
        <v>116.81580095000001</v>
      </c>
      <c r="O25" s="293">
        <f t="shared" si="9"/>
        <v>0.005560486545669505</v>
      </c>
      <c r="P25" s="281">
        <f t="shared" si="7"/>
        <v>47.39530751580314</v>
      </c>
      <c r="R25" s="285"/>
      <c r="S25" s="285"/>
      <c r="T25" s="285"/>
      <c r="U25" s="285"/>
      <c r="V25" s="285"/>
      <c r="W25" s="285"/>
      <c r="X25" s="287"/>
      <c r="Y25" s="287"/>
    </row>
    <row r="26" spans="1:25" s="288" customFormat="1" ht="13.5" customHeight="1">
      <c r="A26" s="282">
        <v>210029</v>
      </c>
      <c r="B26" s="283" t="s">
        <v>142</v>
      </c>
      <c r="C26" s="283" t="s">
        <v>231</v>
      </c>
      <c r="D26" s="284">
        <v>511994860.12</v>
      </c>
      <c r="E26" s="281">
        <v>38485.23</v>
      </c>
      <c r="F26" s="285">
        <f t="shared" si="0"/>
        <v>0.03581579199056841</v>
      </c>
      <c r="G26" s="281">
        <v>152324.42</v>
      </c>
      <c r="H26" s="285">
        <f t="shared" si="1"/>
        <v>0.025968243696166723</v>
      </c>
      <c r="I26" s="281">
        <v>153125.07</v>
      </c>
      <c r="J26" s="285">
        <f t="shared" si="8"/>
        <v>0.00525621564815415</v>
      </c>
      <c r="K26" s="361">
        <v>0.008129</v>
      </c>
      <c r="L26" s="285">
        <f>VLOOKUP(A26,'5.PAU All Payer CY14'!$A$4:$W$51,23,FALSE)</f>
        <v>0.1436664508961357</v>
      </c>
      <c r="M26" s="356">
        <f t="shared" si="6"/>
        <v>0.006961135420665314</v>
      </c>
      <c r="N26" s="286">
        <f t="shared" si="2"/>
        <v>1060.3509154943</v>
      </c>
      <c r="O26" s="293">
        <f t="shared" si="9"/>
        <v>0.0028243195803862023</v>
      </c>
      <c r="P26" s="281">
        <f t="shared" si="7"/>
        <v>430.2128419769717</v>
      </c>
      <c r="R26" s="285">
        <f aca="true" t="shared" si="10" ref="R26:S29">K26-V26</f>
        <v>-0.0021849999999999994</v>
      </c>
      <c r="S26" s="285">
        <f t="shared" si="10"/>
        <v>-0.007853217303915472</v>
      </c>
      <c r="T26" s="285">
        <f>O26-X26</f>
        <v>-0.0019601045804566886</v>
      </c>
      <c r="U26" s="285"/>
      <c r="V26" s="285">
        <v>0.010314</v>
      </c>
      <c r="W26" s="285">
        <v>0.15151966820005117</v>
      </c>
      <c r="X26" s="287">
        <v>0.004784424160842891</v>
      </c>
      <c r="Y26" s="287">
        <v>0.0038415</v>
      </c>
    </row>
    <row r="27" spans="1:25" s="288" customFormat="1" ht="13.5" customHeight="1">
      <c r="A27" s="282">
        <v>210048</v>
      </c>
      <c r="B27" s="283" t="s">
        <v>151</v>
      </c>
      <c r="C27" s="283" t="s">
        <v>231</v>
      </c>
      <c r="D27" s="284">
        <v>275364088.62</v>
      </c>
      <c r="E27" s="281">
        <v>25194.35</v>
      </c>
      <c r="F27" s="285">
        <f t="shared" si="0"/>
        <v>0.02344680281078162</v>
      </c>
      <c r="G27" s="281">
        <v>170507.49</v>
      </c>
      <c r="H27" s="285">
        <f t="shared" si="1"/>
        <v>0.02906809067345676</v>
      </c>
      <c r="I27" s="281">
        <v>172803.71</v>
      </c>
      <c r="J27" s="285">
        <f t="shared" si="8"/>
        <v>0.01346697438335398</v>
      </c>
      <c r="K27" s="361">
        <v>0.020021</v>
      </c>
      <c r="L27" s="285">
        <f>VLOOKUP(A27,'5.PAU All Payer CY14'!$A$4:$W$51,23,FALSE)</f>
        <v>0.15435223459649602</v>
      </c>
      <c r="M27" s="356">
        <f t="shared" si="6"/>
        <v>0.016930713911143553</v>
      </c>
      <c r="N27" s="286">
        <f t="shared" si="2"/>
        <v>2886.8135328971703</v>
      </c>
      <c r="O27" s="293">
        <f t="shared" si="9"/>
        <v>0.006869245305471962</v>
      </c>
      <c r="P27" s="281">
        <f t="shared" si="7"/>
        <v>1171.2577752303075</v>
      </c>
      <c r="R27" s="285">
        <f t="shared" si="10"/>
        <v>0.0037970000000000018</v>
      </c>
      <c r="S27" s="285">
        <f t="shared" si="10"/>
        <v>-0.0009448638239948348</v>
      </c>
      <c r="T27" s="285">
        <f>O27-X27</f>
        <v>-0.0006231846549729289</v>
      </c>
      <c r="U27" s="285"/>
      <c r="V27" s="285">
        <v>0.016224</v>
      </c>
      <c r="W27" s="285">
        <v>0.15529709842049086</v>
      </c>
      <c r="X27" s="287">
        <v>0.007492429960444891</v>
      </c>
      <c r="Y27" s="287">
        <v>0.0073265</v>
      </c>
    </row>
    <row r="28" spans="1:25" s="288" customFormat="1" ht="13.5" customHeight="1">
      <c r="A28" s="282">
        <v>210009</v>
      </c>
      <c r="B28" s="283" t="s">
        <v>129</v>
      </c>
      <c r="C28" s="283" t="s">
        <v>231</v>
      </c>
      <c r="D28" s="284">
        <v>1615165148.19</v>
      </c>
      <c r="E28" s="281">
        <v>98282.68</v>
      </c>
      <c r="F28" s="285">
        <f t="shared" si="0"/>
        <v>0.09146553166385124</v>
      </c>
      <c r="G28" s="281">
        <v>649807.19</v>
      </c>
      <c r="H28" s="285">
        <f t="shared" si="1"/>
        <v>0.11077902981965275</v>
      </c>
      <c r="I28" s="281">
        <v>652761.71</v>
      </c>
      <c r="J28" s="285">
        <f t="shared" si="8"/>
        <v>0.004546764094746303</v>
      </c>
      <c r="K28" s="361">
        <v>0.0084</v>
      </c>
      <c r="L28" s="285">
        <f>VLOOKUP(A28,'5.PAU All Payer CY14'!$A$4:$W$51,23,FALSE)</f>
        <v>0.1008330038427111</v>
      </c>
      <c r="M28" s="356">
        <f t="shared" si="6"/>
        <v>0.0075530027677212265</v>
      </c>
      <c r="N28" s="286">
        <f t="shared" si="2"/>
        <v>4907.995504555152</v>
      </c>
      <c r="O28" s="293">
        <f t="shared" si="9"/>
        <v>0.003064456057593463</v>
      </c>
      <c r="P28" s="281">
        <f t="shared" si="7"/>
        <v>1991.3055796632862</v>
      </c>
      <c r="R28" s="285">
        <f t="shared" si="10"/>
        <v>0.001084</v>
      </c>
      <c r="S28" s="285">
        <f t="shared" si="10"/>
        <v>-0.02836563500152975</v>
      </c>
      <c r="T28" s="285">
        <f>O28-X28</f>
        <v>-0.0004185446621523632</v>
      </c>
      <c r="U28" s="285"/>
      <c r="V28" s="285">
        <v>0.007316</v>
      </c>
      <c r="W28" s="285">
        <v>0.12919863884424085</v>
      </c>
      <c r="X28" s="287">
        <v>0.0034830007197458263</v>
      </c>
      <c r="Y28" s="287">
        <v>0.00401</v>
      </c>
    </row>
    <row r="29" spans="1:25" s="288" customFormat="1" ht="13.5" customHeight="1">
      <c r="A29" s="282">
        <v>210055</v>
      </c>
      <c r="B29" s="283" t="s">
        <v>154</v>
      </c>
      <c r="C29" s="283" t="s">
        <v>231</v>
      </c>
      <c r="D29" s="284">
        <v>94173892.74</v>
      </c>
      <c r="E29" s="281">
        <v>7571.86</v>
      </c>
      <c r="F29" s="285">
        <f t="shared" si="0"/>
        <v>0.007046655632347925</v>
      </c>
      <c r="G29" s="281">
        <v>56825.1</v>
      </c>
      <c r="H29" s="285">
        <f t="shared" si="1"/>
        <v>0.00968753430906905</v>
      </c>
      <c r="I29" s="281">
        <v>57362.2</v>
      </c>
      <c r="J29" s="285">
        <f t="shared" si="8"/>
        <v>0.009451809147718038</v>
      </c>
      <c r="K29" s="361">
        <v>0.015933</v>
      </c>
      <c r="L29" s="285">
        <f>VLOOKUP(A29,'5.PAU All Payer CY14'!$A$4:$W$51,23,FALSE)</f>
        <v>0.1625762098227529</v>
      </c>
      <c r="M29" s="356">
        <f t="shared" si="6"/>
        <v>0.013342673248894078</v>
      </c>
      <c r="N29" s="286">
        <f t="shared" si="2"/>
        <v>758.1987416357309</v>
      </c>
      <c r="O29" s="293">
        <f t="shared" si="9"/>
        <v>0.0054134808525165955</v>
      </c>
      <c r="P29" s="281">
        <f t="shared" si="7"/>
        <v>307.6215907923408</v>
      </c>
      <c r="R29" s="285">
        <f t="shared" si="10"/>
        <v>-0.001518000000000002</v>
      </c>
      <c r="S29" s="285">
        <f t="shared" si="10"/>
        <v>0.009031471829121812</v>
      </c>
      <c r="T29" s="285">
        <f>O29-X29</f>
        <v>-0.0026623106100967346</v>
      </c>
      <c r="U29" s="285"/>
      <c r="V29" s="285">
        <v>0.017451</v>
      </c>
      <c r="W29" s="285">
        <v>0.15354473799363108</v>
      </c>
      <c r="X29" s="287">
        <v>0.00807579146261333</v>
      </c>
      <c r="Y29" s="287">
        <v>0.0058865</v>
      </c>
    </row>
    <row r="30" spans="1:25" s="288" customFormat="1" ht="13.5" customHeight="1">
      <c r="A30" s="282">
        <v>210064</v>
      </c>
      <c r="B30" s="283" t="s">
        <v>189</v>
      </c>
      <c r="C30" s="283" t="s">
        <v>231</v>
      </c>
      <c r="D30" s="284">
        <v>1714493.3</v>
      </c>
      <c r="E30" s="281">
        <v>17.01</v>
      </c>
      <c r="F30" s="285">
        <f t="shared" si="0"/>
        <v>1.5830141115424507E-05</v>
      </c>
      <c r="G30" s="281">
        <v>29.65</v>
      </c>
      <c r="H30" s="285">
        <f t="shared" si="1"/>
        <v>5.05472744023147E-06</v>
      </c>
      <c r="I30" s="281">
        <v>30.23</v>
      </c>
      <c r="J30" s="285">
        <f t="shared" si="8"/>
        <v>0.019561551433389557</v>
      </c>
      <c r="K30" s="361">
        <v>0.043928</v>
      </c>
      <c r="L30" s="285">
        <v>0</v>
      </c>
      <c r="M30" s="356">
        <f t="shared" si="6"/>
        <v>0.043928</v>
      </c>
      <c r="N30" s="286">
        <f t="shared" si="2"/>
        <v>1.3024652</v>
      </c>
      <c r="O30" s="293">
        <f t="shared" si="9"/>
        <v>0.017822769279691356</v>
      </c>
      <c r="P30" s="281">
        <f t="shared" si="7"/>
        <v>0.5284451091428487</v>
      </c>
      <c r="R30" s="285"/>
      <c r="S30" s="285"/>
      <c r="T30" s="285"/>
      <c r="U30" s="285"/>
      <c r="V30" s="285"/>
      <c r="W30" s="285"/>
      <c r="X30" s="287"/>
      <c r="Y30" s="287"/>
    </row>
    <row r="31" spans="1:25" s="288" customFormat="1" ht="13.5" customHeight="1">
      <c r="A31" s="282">
        <v>210045</v>
      </c>
      <c r="B31" s="283" t="s">
        <v>150</v>
      </c>
      <c r="C31" s="283" t="s">
        <v>122</v>
      </c>
      <c r="D31" s="284">
        <v>14571982.85</v>
      </c>
      <c r="E31" s="281">
        <v>964.83</v>
      </c>
      <c r="F31" s="285">
        <f t="shared" si="0"/>
        <v>0.0008979068225981791</v>
      </c>
      <c r="G31" s="281">
        <v>4074.23</v>
      </c>
      <c r="H31" s="285">
        <f t="shared" si="1"/>
        <v>0.0006945741038385923</v>
      </c>
      <c r="I31" s="281">
        <v>4073.17</v>
      </c>
      <c r="J31" s="285">
        <f t="shared" si="8"/>
        <v>-0.0002601718606951575</v>
      </c>
      <c r="K31" s="361">
        <v>0.000922</v>
      </c>
      <c r="L31" s="285">
        <f>VLOOKUP(A31,'5.PAU All Payer CY14'!$A$4:$W$51,23,FALSE)</f>
        <v>0.11714325915544926</v>
      </c>
      <c r="M31" s="356">
        <f t="shared" si="6"/>
        <v>0.0008139939150586757</v>
      </c>
      <c r="N31" s="286">
        <f t="shared" si="2"/>
        <v>3.3163984285495083</v>
      </c>
      <c r="O31" s="293">
        <v>0</v>
      </c>
      <c r="P31" s="281">
        <f t="shared" si="7"/>
        <v>0</v>
      </c>
      <c r="R31" s="285">
        <f aca="true" t="shared" si="11" ref="R31:R53">K31-V31</f>
        <v>0.005647</v>
      </c>
      <c r="S31" s="285">
        <f aca="true" t="shared" si="12" ref="S31:S53">L31-W31</f>
        <v>-0.01232341019917313</v>
      </c>
      <c r="T31" s="285">
        <f aca="true" t="shared" si="13" ref="T31:T53">O31-X31</f>
        <v>0</v>
      </c>
      <c r="U31" s="285"/>
      <c r="V31" s="285">
        <v>-0.004725</v>
      </c>
      <c r="W31" s="285">
        <v>0.1294666693546224</v>
      </c>
      <c r="X31" s="287">
        <v>0</v>
      </c>
      <c r="Y31" s="287">
        <v>0</v>
      </c>
    </row>
    <row r="32" spans="1:25" s="288" customFormat="1" ht="13.5" customHeight="1">
      <c r="A32" s="282">
        <v>210008</v>
      </c>
      <c r="B32" s="283" t="s">
        <v>128</v>
      </c>
      <c r="C32" s="283" t="s">
        <v>231</v>
      </c>
      <c r="D32" s="284">
        <v>456836084.63</v>
      </c>
      <c r="E32" s="281">
        <v>37779.27</v>
      </c>
      <c r="F32" s="285">
        <f t="shared" si="0"/>
        <v>0.03515879925559809</v>
      </c>
      <c r="G32" s="281">
        <v>145160.6</v>
      </c>
      <c r="H32" s="285">
        <f t="shared" si="1"/>
        <v>0.02474695676426524</v>
      </c>
      <c r="I32" s="281">
        <v>145904.2</v>
      </c>
      <c r="J32" s="285">
        <f t="shared" si="8"/>
        <v>0.005122602138596832</v>
      </c>
      <c r="K32" s="361">
        <v>0.010482</v>
      </c>
      <c r="L32" s="285">
        <f>VLOOKUP(A32,'5.PAU All Payer CY14'!$A$4:$W$51,23,FALSE)</f>
        <v>0.08664606334013292</v>
      </c>
      <c r="M32" s="356">
        <f t="shared" si="6"/>
        <v>0.009573775964068727</v>
      </c>
      <c r="N32" s="286">
        <f t="shared" si="2"/>
        <v>1389.735063209795</v>
      </c>
      <c r="O32" s="293">
        <f>M32*$O$60</f>
        <v>0.003884338010905381</v>
      </c>
      <c r="P32" s="281">
        <f t="shared" si="7"/>
        <v>563.8528362658317</v>
      </c>
      <c r="R32" s="285">
        <f t="shared" si="11"/>
        <v>0.00039900000000000005</v>
      </c>
      <c r="S32" s="285">
        <f t="shared" si="12"/>
        <v>-0.010814858106859657</v>
      </c>
      <c r="T32" s="285">
        <f t="shared" si="13"/>
        <v>-0.0010909308027597245</v>
      </c>
      <c r="U32" s="285"/>
      <c r="V32" s="285">
        <v>0.010083</v>
      </c>
      <c r="W32" s="285">
        <v>0.09746092144699257</v>
      </c>
      <c r="X32" s="287">
        <v>0.0049752688136651055</v>
      </c>
      <c r="Y32" s="287">
        <v>0.004308</v>
      </c>
    </row>
    <row r="33" spans="1:25" s="288" customFormat="1" ht="13.5" customHeight="1">
      <c r="A33" s="282">
        <v>210001</v>
      </c>
      <c r="B33" s="283" t="s">
        <v>121</v>
      </c>
      <c r="C33" s="283" t="s">
        <v>122</v>
      </c>
      <c r="D33" s="284">
        <v>251887059.75</v>
      </c>
      <c r="E33" s="281">
        <v>21768.5</v>
      </c>
      <c r="F33" s="285">
        <f t="shared" si="0"/>
        <v>0.020258578887190966</v>
      </c>
      <c r="G33" s="281">
        <v>114103.77</v>
      </c>
      <c r="H33" s="285">
        <f t="shared" si="1"/>
        <v>0.019452393161985174</v>
      </c>
      <c r="I33" s="281">
        <v>114429.75</v>
      </c>
      <c r="J33" s="285">
        <f t="shared" si="8"/>
        <v>0.0028568731778100265</v>
      </c>
      <c r="K33" s="361">
        <v>0.010757</v>
      </c>
      <c r="L33" s="285">
        <f>VLOOKUP(A33,'5.PAU All Payer CY14'!$A$4:$W$51,23,FALSE)</f>
        <v>0.15643529688943522</v>
      </c>
      <c r="M33" s="356">
        <f t="shared" si="6"/>
        <v>0.009074225511360345</v>
      </c>
      <c r="N33" s="286">
        <f t="shared" si="2"/>
        <v>1035.403340676393</v>
      </c>
      <c r="O33" s="293">
        <v>0.0051</v>
      </c>
      <c r="P33" s="281">
        <f t="shared" si="7"/>
        <v>581.9292270000001</v>
      </c>
      <c r="R33" s="285">
        <f t="shared" si="11"/>
        <v>0.0008439999999999993</v>
      </c>
      <c r="S33" s="285">
        <f t="shared" si="12"/>
        <v>-0.015266382854790761</v>
      </c>
      <c r="T33" s="285">
        <f t="shared" si="13"/>
        <v>0.0006109684783862871</v>
      </c>
      <c r="U33" s="285"/>
      <c r="V33" s="285">
        <v>0.009913</v>
      </c>
      <c r="W33" s="285">
        <v>0.17170167974422598</v>
      </c>
      <c r="X33" s="287">
        <v>0.004489031521613713</v>
      </c>
      <c r="Y33" s="287">
        <v>0.0047065</v>
      </c>
    </row>
    <row r="34" spans="1:25" s="288" customFormat="1" ht="13.5" customHeight="1">
      <c r="A34" s="282">
        <v>210018</v>
      </c>
      <c r="B34" s="283" t="s">
        <v>136</v>
      </c>
      <c r="C34" s="283" t="s">
        <v>231</v>
      </c>
      <c r="D34" s="284">
        <v>165628911.59</v>
      </c>
      <c r="E34" s="281">
        <v>14226.25</v>
      </c>
      <c r="F34" s="285">
        <f t="shared" si="0"/>
        <v>0.013239479426414338</v>
      </c>
      <c r="G34" s="281">
        <v>105323.62</v>
      </c>
      <c r="H34" s="285">
        <f t="shared" si="1"/>
        <v>0.017955554540253358</v>
      </c>
      <c r="I34" s="281">
        <v>106335.99</v>
      </c>
      <c r="J34" s="285">
        <f t="shared" si="8"/>
        <v>0.009611993966785581</v>
      </c>
      <c r="K34" s="361">
        <v>0.019484</v>
      </c>
      <c r="L34" s="285">
        <f>VLOOKUP(A34,'5.PAU All Payer CY14'!$A$4:$W$51,23,FALSE)</f>
        <v>0.14704735754828016</v>
      </c>
      <c r="M34" s="356">
        <f t="shared" si="6"/>
        <v>0.01661892928552931</v>
      </c>
      <c r="N34" s="286">
        <f t="shared" si="2"/>
        <v>1750.3657928759603</v>
      </c>
      <c r="O34" s="293">
        <f aca="true" t="shared" si="14" ref="O34:O47">M34*$O$60</f>
        <v>0.0067427459099320426</v>
      </c>
      <c r="P34" s="281">
        <f t="shared" si="7"/>
        <v>710.1704079742367</v>
      </c>
      <c r="R34" s="285">
        <f t="shared" si="11"/>
        <v>0.002650000000000003</v>
      </c>
      <c r="S34" s="285">
        <f t="shared" si="12"/>
        <v>0.004537344314255093</v>
      </c>
      <c r="T34" s="285">
        <f t="shared" si="13"/>
        <v>-0.0011490736762118248</v>
      </c>
      <c r="U34" s="285"/>
      <c r="V34" s="285">
        <v>0.016834</v>
      </c>
      <c r="W34" s="285">
        <v>0.14251001323402507</v>
      </c>
      <c r="X34" s="287">
        <v>0.007891819586143867</v>
      </c>
      <c r="Y34" s="287">
        <v>0.0085505</v>
      </c>
    </row>
    <row r="35" spans="1:25" s="288" customFormat="1" ht="13.5" customHeight="1">
      <c r="A35" s="282">
        <v>210040</v>
      </c>
      <c r="B35" s="283" t="s">
        <v>147</v>
      </c>
      <c r="C35" s="283" t="s">
        <v>231</v>
      </c>
      <c r="D35" s="284">
        <v>241946458.95</v>
      </c>
      <c r="E35" s="281">
        <v>18309</v>
      </c>
      <c r="F35" s="285">
        <f aca="true" t="shared" si="15" ref="F35:F66">E35/$E$55</f>
        <v>0.017039039017184437</v>
      </c>
      <c r="G35" s="281">
        <v>64165.87</v>
      </c>
      <c r="H35" s="285">
        <f aca="true" t="shared" si="16" ref="H35:H66">G35/$G$55</f>
        <v>0.010938987649758019</v>
      </c>
      <c r="I35" s="281">
        <v>64637.61</v>
      </c>
      <c r="J35" s="285">
        <f t="shared" si="8"/>
        <v>0.007351883485722244</v>
      </c>
      <c r="K35" s="361">
        <v>0.014047</v>
      </c>
      <c r="L35" s="285">
        <f>VLOOKUP(A35,'5.PAU All Payer CY14'!$A$4:$W$51,23,FALSE)</f>
        <v>0.19766836499119697</v>
      </c>
      <c r="M35" s="356">
        <f t="shared" si="6"/>
        <v>0.011270352476968656</v>
      </c>
      <c r="N35" s="286">
        <f aca="true" t="shared" si="17" ref="N35:N66">G35*M35</f>
        <v>723.1719718913488</v>
      </c>
      <c r="O35" s="293">
        <f t="shared" si="14"/>
        <v>0.004572684663490492</v>
      </c>
      <c r="P35" s="281">
        <f t="shared" si="7"/>
        <v>293.4102896685247</v>
      </c>
      <c r="R35" s="285">
        <f t="shared" si="11"/>
        <v>-0.0009549999999999993</v>
      </c>
      <c r="S35" s="285">
        <f t="shared" si="12"/>
        <v>-0.03140808418600846</v>
      </c>
      <c r="T35" s="285">
        <f t="shared" si="13"/>
        <v>-0.0017502870998128799</v>
      </c>
      <c r="U35" s="285"/>
      <c r="V35" s="285">
        <v>0.015002</v>
      </c>
      <c r="W35" s="285">
        <v>0.22907644917720543</v>
      </c>
      <c r="X35" s="287">
        <v>0.006322971763303372</v>
      </c>
      <c r="Y35" s="287">
        <v>0.0060145</v>
      </c>
    </row>
    <row r="36" spans="1:25" s="288" customFormat="1" ht="13.5" customHeight="1">
      <c r="A36" s="282">
        <v>210019</v>
      </c>
      <c r="B36" s="283" t="s">
        <v>182</v>
      </c>
      <c r="C36" s="283" t="s">
        <v>231</v>
      </c>
      <c r="D36" s="284">
        <v>327643408.1</v>
      </c>
      <c r="E36" s="281">
        <v>28542.71</v>
      </c>
      <c r="F36" s="285">
        <f t="shared" si="15"/>
        <v>0.026562911647068674</v>
      </c>
      <c r="G36" s="281">
        <v>125339.52</v>
      </c>
      <c r="H36" s="285">
        <f t="shared" si="16"/>
        <v>0.021367862094078958</v>
      </c>
      <c r="I36" s="281">
        <v>125381.99</v>
      </c>
      <c r="J36" s="285">
        <f t="shared" si="8"/>
        <v>0.0003388396572765462</v>
      </c>
      <c r="K36" s="361">
        <v>0.005097</v>
      </c>
      <c r="L36" s="285">
        <f>VLOOKUP(A36,'5.PAU All Payer CY14'!$A$4:$W$51,23,FALSE)</f>
        <v>0.14331440642858692</v>
      </c>
      <c r="M36" s="356">
        <f t="shared" si="6"/>
        <v>0.004366526470433492</v>
      </c>
      <c r="N36" s="286">
        <f t="shared" si="17"/>
        <v>547.2983318714281</v>
      </c>
      <c r="O36" s="293">
        <f t="shared" si="14"/>
        <v>0.0017716170514524032</v>
      </c>
      <c r="P36" s="281">
        <f t="shared" si="7"/>
        <v>222.05363085285953</v>
      </c>
      <c r="R36" s="285">
        <f t="shared" si="11"/>
        <v>-0.0035210000000000007</v>
      </c>
      <c r="S36" s="285">
        <f t="shared" si="12"/>
        <v>0.001388923887815502</v>
      </c>
      <c r="T36" s="285">
        <f t="shared" si="13"/>
        <v>-0.002271276091323778</v>
      </c>
      <c r="U36" s="285"/>
      <c r="V36" s="285">
        <v>0.008618</v>
      </c>
      <c r="W36" s="285">
        <v>0.14192548254077142</v>
      </c>
      <c r="X36" s="287">
        <v>0.004042893142776181</v>
      </c>
      <c r="Y36" s="287">
        <v>0.0038385</v>
      </c>
    </row>
    <row r="37" spans="1:25" s="288" customFormat="1" ht="13.5" customHeight="1">
      <c r="A37" s="282">
        <v>210003</v>
      </c>
      <c r="B37" s="283" t="s">
        <v>124</v>
      </c>
      <c r="C37" s="283" t="s">
        <v>231</v>
      </c>
      <c r="D37" s="284">
        <v>233755765.75</v>
      </c>
      <c r="E37" s="281">
        <v>15468.88</v>
      </c>
      <c r="F37" s="285">
        <f t="shared" si="15"/>
        <v>0.014395917301444317</v>
      </c>
      <c r="G37" s="281">
        <v>137081.95</v>
      </c>
      <c r="H37" s="285">
        <f t="shared" si="16"/>
        <v>0.02336970975465222</v>
      </c>
      <c r="I37" s="281">
        <v>137973.04</v>
      </c>
      <c r="J37" s="285">
        <f t="shared" si="8"/>
        <v>0.0065004181805117245</v>
      </c>
      <c r="K37" s="361">
        <v>0.012338</v>
      </c>
      <c r="L37" s="285">
        <f>VLOOKUP(A37,'5.PAU All Payer CY14'!$A$4:$W$51,23,FALSE)</f>
        <v>0.15247025737191383</v>
      </c>
      <c r="M37" s="356">
        <f t="shared" si="6"/>
        <v>0.010456821964545327</v>
      </c>
      <c r="N37" s="286">
        <f t="shared" si="17"/>
        <v>1433.4415457027044</v>
      </c>
      <c r="O37" s="293">
        <f t="shared" si="14"/>
        <v>0.004242613487363419</v>
      </c>
      <c r="P37" s="281">
        <f t="shared" si="7"/>
        <v>581.5857299440779</v>
      </c>
      <c r="R37" s="285">
        <f t="shared" si="11"/>
        <v>0.0024290000000000006</v>
      </c>
      <c r="S37" s="285">
        <f t="shared" si="12"/>
        <v>0.0010697698903715247</v>
      </c>
      <c r="T37" s="285">
        <f t="shared" si="13"/>
        <v>-0.0003545862639759492</v>
      </c>
      <c r="U37" s="285"/>
      <c r="V37" s="285">
        <v>0.009909</v>
      </c>
      <c r="W37" s="285">
        <v>0.1514004874815423</v>
      </c>
      <c r="X37" s="287">
        <v>0.004597199751339368</v>
      </c>
      <c r="Y37" s="287">
        <v>0.003139</v>
      </c>
    </row>
    <row r="38" spans="1:25" s="288" customFormat="1" ht="13.5" customHeight="1">
      <c r="A38" s="282">
        <v>210088</v>
      </c>
      <c r="B38" s="283" t="s">
        <v>192</v>
      </c>
      <c r="C38" s="283" t="s">
        <v>231</v>
      </c>
      <c r="D38" s="284">
        <v>4679081.44</v>
      </c>
      <c r="E38" s="281">
        <v>555.77</v>
      </c>
      <c r="F38" s="285">
        <f t="shared" si="15"/>
        <v>0.0005172203132110216</v>
      </c>
      <c r="G38" s="281">
        <v>5423.12</v>
      </c>
      <c r="H38" s="285">
        <f t="shared" si="16"/>
        <v>0.0009245326635975746</v>
      </c>
      <c r="I38" s="281">
        <v>5369.94</v>
      </c>
      <c r="J38" s="285">
        <f t="shared" si="8"/>
        <v>-0.009806163241823929</v>
      </c>
      <c r="K38" s="361">
        <v>-0.002194</v>
      </c>
      <c r="L38" s="285">
        <v>0</v>
      </c>
      <c r="M38" s="356">
        <f t="shared" si="6"/>
        <v>-0.002194</v>
      </c>
      <c r="N38" s="286">
        <f t="shared" si="17"/>
        <v>-11.898325280000002</v>
      </c>
      <c r="O38" s="293">
        <f t="shared" si="14"/>
        <v>-0.0008901647195329364</v>
      </c>
      <c r="P38" s="281">
        <f t="shared" si="7"/>
        <v>-4.827470093793458</v>
      </c>
      <c r="R38" s="285">
        <f t="shared" si="11"/>
        <v>0.003172</v>
      </c>
      <c r="S38" s="285">
        <f t="shared" si="12"/>
        <v>0</v>
      </c>
      <c r="T38" s="285">
        <f t="shared" si="13"/>
        <v>-0.0008901647195329364</v>
      </c>
      <c r="U38" s="285"/>
      <c r="V38" s="285">
        <v>-0.005366</v>
      </c>
      <c r="W38" s="285"/>
      <c r="X38" s="287">
        <v>0</v>
      </c>
      <c r="Y38" s="287">
        <v>0.001487</v>
      </c>
    </row>
    <row r="39" spans="1:25" s="288" customFormat="1" ht="13.5" customHeight="1">
      <c r="A39" s="282">
        <v>210058</v>
      </c>
      <c r="B39" s="283" t="s">
        <v>187</v>
      </c>
      <c r="C39" s="283" t="s">
        <v>231</v>
      </c>
      <c r="D39" s="284">
        <v>92380302.07</v>
      </c>
      <c r="E39" s="281">
        <v>6852.21</v>
      </c>
      <c r="F39" s="285">
        <f t="shared" si="15"/>
        <v>0.006376922472223572</v>
      </c>
      <c r="G39" s="281">
        <v>38118.71</v>
      </c>
      <c r="H39" s="285">
        <f t="shared" si="16"/>
        <v>0.006498471818658541</v>
      </c>
      <c r="I39" s="281">
        <v>38367.6</v>
      </c>
      <c r="J39" s="285">
        <f t="shared" si="8"/>
        <v>0.006529339529065981</v>
      </c>
      <c r="K39" s="361">
        <v>0.011689</v>
      </c>
      <c r="L39" s="285">
        <f>VLOOKUP(A39,'5.PAU All Payer CY14'!$A$4:$W$51,23,FALSE)</f>
        <v>0.07575551244533765</v>
      </c>
      <c r="M39" s="356">
        <f t="shared" si="6"/>
        <v>0.010803493815026448</v>
      </c>
      <c r="N39" s="286">
        <f t="shared" si="17"/>
        <v>411.8152477217868</v>
      </c>
      <c r="O39" s="293">
        <f t="shared" si="14"/>
        <v>0.004383267566922895</v>
      </c>
      <c r="P39" s="281">
        <f t="shared" si="7"/>
        <v>167.08450523593942</v>
      </c>
      <c r="R39" s="285">
        <f t="shared" si="11"/>
        <v>0.0002570000000000003</v>
      </c>
      <c r="S39" s="285">
        <f t="shared" si="12"/>
        <v>-0.007562832877963763</v>
      </c>
      <c r="T39" s="285">
        <f t="shared" si="13"/>
        <v>-0.0013460319109062742</v>
      </c>
      <c r="U39" s="285"/>
      <c r="V39" s="285">
        <v>0.011432</v>
      </c>
      <c r="W39" s="285">
        <v>0.08331834532330142</v>
      </c>
      <c r="X39" s="287">
        <v>0.005729299477829169</v>
      </c>
      <c r="Y39" s="287">
        <v>0.0055475</v>
      </c>
    </row>
    <row r="40" spans="1:25" s="288" customFormat="1" ht="13.5" customHeight="1">
      <c r="A40" s="282">
        <v>210057</v>
      </c>
      <c r="B40" s="283" t="s">
        <v>156</v>
      </c>
      <c r="C40" s="283" t="s">
        <v>231</v>
      </c>
      <c r="D40" s="284">
        <v>367696002.71</v>
      </c>
      <c r="E40" s="281">
        <v>31045.81</v>
      </c>
      <c r="F40" s="285">
        <f t="shared" si="15"/>
        <v>0.028892389967234408</v>
      </c>
      <c r="G40" s="281">
        <v>305298.13</v>
      </c>
      <c r="H40" s="285">
        <f t="shared" si="16"/>
        <v>0.05204717825168143</v>
      </c>
      <c r="I40" s="281">
        <v>308230.16</v>
      </c>
      <c r="J40" s="285">
        <f t="shared" si="8"/>
        <v>0.009603825611378625</v>
      </c>
      <c r="K40" s="361">
        <v>0.014348</v>
      </c>
      <c r="L40" s="285">
        <f>VLOOKUP(A40,'5.PAU All Payer CY14'!$A$4:$W$51,23,FALSE)</f>
        <v>0.1259240189532369</v>
      </c>
      <c r="M40" s="356">
        <f t="shared" si="6"/>
        <v>0.012541242176058957</v>
      </c>
      <c r="N40" s="286">
        <f t="shared" si="17"/>
        <v>3828.81778422793</v>
      </c>
      <c r="O40" s="293">
        <f t="shared" si="14"/>
        <v>0.005088318743959049</v>
      </c>
      <c r="P40" s="281">
        <f t="shared" si="7"/>
        <v>1553.4541973746466</v>
      </c>
      <c r="R40" s="285">
        <f t="shared" si="11"/>
        <v>-0.002069999999999999</v>
      </c>
      <c r="S40" s="285">
        <f t="shared" si="12"/>
        <v>0.015024285574089496</v>
      </c>
      <c r="T40" s="285">
        <f t="shared" si="13"/>
        <v>-0.0028922117242259964</v>
      </c>
      <c r="U40" s="285"/>
      <c r="V40" s="285">
        <v>0.016418</v>
      </c>
      <c r="W40" s="285">
        <v>0.11089973337914741</v>
      </c>
      <c r="X40" s="287">
        <v>0.007980530468185046</v>
      </c>
      <c r="Y40" s="287">
        <v>0.0067135</v>
      </c>
    </row>
    <row r="41" spans="1:25" s="288" customFormat="1" ht="13.5" customHeight="1">
      <c r="A41" s="282">
        <v>210012</v>
      </c>
      <c r="B41" s="283" t="s">
        <v>131</v>
      </c>
      <c r="C41" s="283" t="s">
        <v>231</v>
      </c>
      <c r="D41" s="284">
        <v>668535009.53</v>
      </c>
      <c r="E41" s="281">
        <v>46513.57</v>
      </c>
      <c r="F41" s="285">
        <f t="shared" si="15"/>
        <v>0.043287264954860426</v>
      </c>
      <c r="G41" s="281">
        <v>185445.36</v>
      </c>
      <c r="H41" s="285">
        <f t="shared" si="16"/>
        <v>0.031614696453814616</v>
      </c>
      <c r="I41" s="281">
        <v>186474.1</v>
      </c>
      <c r="J41" s="285">
        <f t="shared" si="8"/>
        <v>0.005547402210548835</v>
      </c>
      <c r="K41" s="361">
        <v>0.009802</v>
      </c>
      <c r="L41" s="285">
        <f>VLOOKUP(A41,'5.PAU All Payer CY14'!$A$4:$W$51,23,FALSE)</f>
        <v>0.11832019897946988</v>
      </c>
      <c r="M41" s="356">
        <f t="shared" si="6"/>
        <v>0.008642225409603237</v>
      </c>
      <c r="N41" s="286">
        <f t="shared" si="17"/>
        <v>1602.6606022850196</v>
      </c>
      <c r="O41" s="293">
        <f t="shared" si="14"/>
        <v>0.0035063829343117054</v>
      </c>
      <c r="P41" s="281">
        <f t="shared" si="7"/>
        <v>650.2424455512905</v>
      </c>
      <c r="R41" s="285">
        <f t="shared" si="11"/>
        <v>-0.00021400000000000065</v>
      </c>
      <c r="S41" s="285">
        <f t="shared" si="12"/>
        <v>-0.02295567268282095</v>
      </c>
      <c r="T41" s="285">
        <f t="shared" si="13"/>
        <v>-0.0011958999241195828</v>
      </c>
      <c r="U41" s="285"/>
      <c r="V41" s="285">
        <v>0.010016</v>
      </c>
      <c r="W41" s="285">
        <v>0.14127587166229083</v>
      </c>
      <c r="X41" s="287">
        <v>0.004702282858431288</v>
      </c>
      <c r="Y41" s="287">
        <v>0.0039935</v>
      </c>
    </row>
    <row r="42" spans="1:25" s="288" customFormat="1" ht="13.5" customHeight="1">
      <c r="A42" s="282">
        <v>210062</v>
      </c>
      <c r="B42" s="283" t="s">
        <v>159</v>
      </c>
      <c r="C42" s="283" t="s">
        <v>231</v>
      </c>
      <c r="D42" s="284">
        <v>241859798.73</v>
      </c>
      <c r="E42" s="281">
        <v>17324.96</v>
      </c>
      <c r="F42" s="285">
        <f t="shared" si="15"/>
        <v>0.016123254651327745</v>
      </c>
      <c r="G42" s="281">
        <v>140973.53</v>
      </c>
      <c r="H42" s="285">
        <f t="shared" si="16"/>
        <v>0.02403314571457991</v>
      </c>
      <c r="I42" s="281">
        <v>143077.86</v>
      </c>
      <c r="J42" s="285">
        <f t="shared" si="8"/>
        <v>0.014927128518382071</v>
      </c>
      <c r="K42" s="361">
        <v>0.028321</v>
      </c>
      <c r="L42" s="285">
        <f>VLOOKUP(A42,'5.PAU All Payer CY14'!$A$4:$W$51,23,FALSE)</f>
        <v>0.20762131923532895</v>
      </c>
      <c r="M42" s="356">
        <f t="shared" si="6"/>
        <v>0.02244095661793625</v>
      </c>
      <c r="N42" s="286">
        <f t="shared" si="17"/>
        <v>3163.5808710073343</v>
      </c>
      <c r="O42" s="293">
        <f t="shared" si="14"/>
        <v>0.009104898748339113</v>
      </c>
      <c r="P42" s="281">
        <f t="shared" si="7"/>
        <v>1283.5497168459465</v>
      </c>
      <c r="R42" s="285">
        <f t="shared" si="11"/>
        <v>0.009675</v>
      </c>
      <c r="S42" s="285">
        <f t="shared" si="12"/>
        <v>0.022745689592118784</v>
      </c>
      <c r="T42" s="285">
        <f t="shared" si="13"/>
        <v>0.0007954861174181913</v>
      </c>
      <c r="U42" s="285"/>
      <c r="V42" s="285">
        <v>0.018646</v>
      </c>
      <c r="W42" s="285">
        <v>0.18487562964321017</v>
      </c>
      <c r="X42" s="287">
        <v>0.008309412630920922</v>
      </c>
      <c r="Y42" s="287">
        <v>0.0075785</v>
      </c>
    </row>
    <row r="43" spans="1:25" s="288" customFormat="1" ht="13.5" customHeight="1">
      <c r="A43" s="282">
        <v>210011</v>
      </c>
      <c r="B43" s="283" t="s">
        <v>130</v>
      </c>
      <c r="C43" s="283" t="s">
        <v>231</v>
      </c>
      <c r="D43" s="284">
        <v>404364463.69</v>
      </c>
      <c r="E43" s="281">
        <v>33081.08</v>
      </c>
      <c r="F43" s="285">
        <f t="shared" si="15"/>
        <v>0.03078648822167239</v>
      </c>
      <c r="G43" s="281">
        <v>124983.44</v>
      </c>
      <c r="H43" s="285">
        <f t="shared" si="16"/>
        <v>0.021307157630439243</v>
      </c>
      <c r="I43" s="281">
        <v>125805.54</v>
      </c>
      <c r="J43" s="285">
        <f t="shared" si="8"/>
        <v>0.006577671409908392</v>
      </c>
      <c r="K43" s="361">
        <v>0.011763</v>
      </c>
      <c r="L43" s="285">
        <f>VLOOKUP(A43,'5.PAU All Payer CY14'!$A$4:$W$51,23,FALSE)</f>
        <v>0.17363775695991135</v>
      </c>
      <c r="M43" s="356">
        <f t="shared" si="6"/>
        <v>0.009720499064880561</v>
      </c>
      <c r="N43" s="286">
        <f t="shared" si="17"/>
        <v>1214.9014116455558</v>
      </c>
      <c r="O43" s="293">
        <f t="shared" si="14"/>
        <v>0.003943867513131073</v>
      </c>
      <c r="P43" s="281">
        <f t="shared" si="7"/>
        <v>492.91812869536676</v>
      </c>
      <c r="R43" s="285">
        <f t="shared" si="11"/>
        <v>-0.0014310000000000017</v>
      </c>
      <c r="S43" s="285">
        <f t="shared" si="12"/>
        <v>0.0013738129351507367</v>
      </c>
      <c r="T43" s="285">
        <f t="shared" si="13"/>
        <v>-0.002026885703715995</v>
      </c>
      <c r="U43" s="285"/>
      <c r="V43" s="285">
        <v>0.013194</v>
      </c>
      <c r="W43" s="285">
        <v>0.1722639440247606</v>
      </c>
      <c r="X43" s="287">
        <v>0.005970753216847069</v>
      </c>
      <c r="Y43" s="287">
        <v>0.0052795</v>
      </c>
    </row>
    <row r="44" spans="1:25" s="288" customFormat="1" ht="13.5" customHeight="1">
      <c r="A44" s="282">
        <v>210028</v>
      </c>
      <c r="B44" s="283" t="s">
        <v>141</v>
      </c>
      <c r="C44" s="283" t="s">
        <v>231</v>
      </c>
      <c r="D44" s="284">
        <v>156806479.04</v>
      </c>
      <c r="E44" s="281">
        <v>14455.41</v>
      </c>
      <c r="F44" s="285">
        <f t="shared" si="15"/>
        <v>0.013452744278737128</v>
      </c>
      <c r="G44" s="281">
        <v>91034.32</v>
      </c>
      <c r="H44" s="285">
        <f t="shared" si="16"/>
        <v>0.015519516873754217</v>
      </c>
      <c r="I44" s="281">
        <v>91281.48</v>
      </c>
      <c r="J44" s="285">
        <f t="shared" si="8"/>
        <v>0.0027150200056416107</v>
      </c>
      <c r="K44" s="361">
        <v>0.013855</v>
      </c>
      <c r="L44" s="285">
        <f>VLOOKUP(A44,'5.PAU All Payer CY14'!$A$4:$W$51,23,FALSE)</f>
        <v>0.12748454480561217</v>
      </c>
      <c r="M44" s="356">
        <f t="shared" si="6"/>
        <v>0.012088701631718244</v>
      </c>
      <c r="N44" s="286">
        <f t="shared" si="17"/>
        <v>1100.486732726361</v>
      </c>
      <c r="O44" s="293">
        <f t="shared" si="14"/>
        <v>0.004904710892213227</v>
      </c>
      <c r="P44" s="281">
        <f t="shared" si="7"/>
        <v>446.4970208692245</v>
      </c>
      <c r="R44" s="285">
        <f t="shared" si="11"/>
        <v>-0.0017759999999999998</v>
      </c>
      <c r="S44" s="285">
        <f t="shared" si="12"/>
        <v>0.00114763630777584</v>
      </c>
      <c r="T44" s="285">
        <f t="shared" si="13"/>
        <v>-0.0025613498735232608</v>
      </c>
      <c r="U44" s="285"/>
      <c r="V44" s="285">
        <v>0.015631</v>
      </c>
      <c r="W44" s="285">
        <v>0.12633690849783633</v>
      </c>
      <c r="X44" s="287">
        <v>0.007466060765736488</v>
      </c>
      <c r="Y44" s="287">
        <v>0.008401</v>
      </c>
    </row>
    <row r="45" spans="1:25" s="288" customFormat="1" ht="13.5" customHeight="1">
      <c r="A45" s="282">
        <v>210022</v>
      </c>
      <c r="B45" s="283" t="s">
        <v>137</v>
      </c>
      <c r="C45" s="283" t="s">
        <v>231</v>
      </c>
      <c r="D45" s="284">
        <v>256689920.64</v>
      </c>
      <c r="E45" s="281">
        <v>22941.26</v>
      </c>
      <c r="F45" s="285">
        <f t="shared" si="15"/>
        <v>0.021349993131431134</v>
      </c>
      <c r="G45" s="281">
        <v>180201.11</v>
      </c>
      <c r="H45" s="285">
        <f t="shared" si="16"/>
        <v>0.030720657520309256</v>
      </c>
      <c r="I45" s="281">
        <v>182209.27</v>
      </c>
      <c r="J45" s="285">
        <f t="shared" si="8"/>
        <v>0.011143993508142103</v>
      </c>
      <c r="K45" s="361">
        <v>0.02141</v>
      </c>
      <c r="L45" s="285">
        <f>VLOOKUP(A45,'5.PAU All Payer CY14'!$A$4:$W$51,23,FALSE)</f>
        <v>0.14148437649311346</v>
      </c>
      <c r="M45" s="356">
        <f t="shared" si="6"/>
        <v>0.018380819499282438</v>
      </c>
      <c r="N45" s="286">
        <f t="shared" si="17"/>
        <v>3312.244076480339</v>
      </c>
      <c r="O45" s="293">
        <f t="shared" si="14"/>
        <v>0.007457592084942698</v>
      </c>
      <c r="P45" s="281">
        <f t="shared" si="7"/>
        <v>1343.8663716338883</v>
      </c>
      <c r="R45" s="285">
        <f t="shared" si="11"/>
        <v>-0.0014410000000000013</v>
      </c>
      <c r="S45" s="285">
        <f t="shared" si="12"/>
        <v>0.0003975152885095923</v>
      </c>
      <c r="T45" s="285">
        <f t="shared" si="13"/>
        <v>-0.0032727909436061943</v>
      </c>
      <c r="U45" s="285"/>
      <c r="V45" s="285">
        <v>0.022851</v>
      </c>
      <c r="W45" s="285">
        <v>0.14108686120460387</v>
      </c>
      <c r="X45" s="287">
        <v>0.010730383028548892</v>
      </c>
      <c r="Y45" s="287">
        <v>0.0105865</v>
      </c>
    </row>
    <row r="46" spans="1:25" s="288" customFormat="1" ht="13.5" customHeight="1">
      <c r="A46" s="282">
        <v>210063</v>
      </c>
      <c r="B46" s="283" t="s">
        <v>188</v>
      </c>
      <c r="C46" s="283" t="s">
        <v>231</v>
      </c>
      <c r="D46" s="284">
        <v>337770759.06</v>
      </c>
      <c r="E46" s="281">
        <v>33513.32</v>
      </c>
      <c r="F46" s="285">
        <f t="shared" si="15"/>
        <v>0.031188746904548995</v>
      </c>
      <c r="G46" s="281">
        <v>131776.21</v>
      </c>
      <c r="H46" s="285">
        <f t="shared" si="16"/>
        <v>0.02246518801540319</v>
      </c>
      <c r="I46" s="281">
        <v>132597.17</v>
      </c>
      <c r="J46" s="285">
        <f t="shared" si="8"/>
        <v>0.0062299560747727245</v>
      </c>
      <c r="K46" s="361">
        <v>0.01486</v>
      </c>
      <c r="L46" s="285">
        <f>VLOOKUP(A46,'5.PAU All Payer CY14'!$A$4:$W$51,23,FALSE)</f>
        <v>0.10833985580512293</v>
      </c>
      <c r="M46" s="356">
        <f t="shared" si="6"/>
        <v>0.013250069742735873</v>
      </c>
      <c r="N46" s="286">
        <f t="shared" si="17"/>
        <v>1746.0439729334082</v>
      </c>
      <c r="O46" s="293">
        <f t="shared" si="14"/>
        <v>0.00537590912321528</v>
      </c>
      <c r="P46" s="281">
        <f t="shared" si="7"/>
        <v>708.4169295617326</v>
      </c>
      <c r="R46" s="285">
        <f t="shared" si="11"/>
        <v>0.0004080000000000004</v>
      </c>
      <c r="S46" s="285">
        <f t="shared" si="12"/>
        <v>-0.01855627060269116</v>
      </c>
      <c r="T46" s="285">
        <f t="shared" si="13"/>
        <v>-0.0015225903597734089</v>
      </c>
      <c r="U46" s="285"/>
      <c r="V46" s="285">
        <v>0.014452</v>
      </c>
      <c r="W46" s="285">
        <v>0.12689612640781409</v>
      </c>
      <c r="X46" s="287">
        <v>0.006898499482988689</v>
      </c>
      <c r="Y46" s="287">
        <v>0.005625</v>
      </c>
    </row>
    <row r="47" spans="1:25" s="288" customFormat="1" ht="13.5" customHeight="1">
      <c r="A47" s="282">
        <v>210038</v>
      </c>
      <c r="B47" s="283" t="s">
        <v>186</v>
      </c>
      <c r="C47" s="283" t="s">
        <v>231</v>
      </c>
      <c r="D47" s="284">
        <v>190215882.67</v>
      </c>
      <c r="E47" s="281">
        <v>11555.47</v>
      </c>
      <c r="F47" s="285">
        <f t="shared" si="15"/>
        <v>0.010753951837451758</v>
      </c>
      <c r="G47" s="281">
        <v>40515.5</v>
      </c>
      <c r="H47" s="285">
        <f t="shared" si="16"/>
        <v>0.006907076209264692</v>
      </c>
      <c r="I47" s="281">
        <v>40637.75</v>
      </c>
      <c r="J47" s="285">
        <f t="shared" si="8"/>
        <v>0.003017363724994171</v>
      </c>
      <c r="K47" s="361">
        <v>0.004523</v>
      </c>
      <c r="L47" s="285">
        <f>VLOOKUP(A47,'5.PAU All Payer CY14'!$A$4:$W$51,23,FALSE)</f>
        <v>0.18706924978432302</v>
      </c>
      <c r="M47" s="356">
        <f t="shared" si="6"/>
        <v>0.003676885783225507</v>
      </c>
      <c r="N47" s="286">
        <f t="shared" si="17"/>
        <v>148.97086595027304</v>
      </c>
      <c r="O47" s="293">
        <f t="shared" si="14"/>
        <v>0.0014918113044574178</v>
      </c>
      <c r="P47" s="281">
        <f t="shared" si="7"/>
        <v>60.44148090574451</v>
      </c>
      <c r="R47" s="285">
        <f t="shared" si="11"/>
        <v>-0.0010499999999999997</v>
      </c>
      <c r="S47" s="285">
        <f t="shared" si="12"/>
        <v>-0.005464189456153651</v>
      </c>
      <c r="T47" s="285">
        <f t="shared" si="13"/>
        <v>-0.0009684110332316461</v>
      </c>
      <c r="U47" s="285"/>
      <c r="V47" s="285">
        <v>0.005573</v>
      </c>
      <c r="W47" s="285">
        <v>0.19253343924047667</v>
      </c>
      <c r="X47" s="287">
        <v>0.002460222337689064</v>
      </c>
      <c r="Y47" s="287">
        <v>0.001934</v>
      </c>
    </row>
    <row r="48" spans="1:25" s="288" customFormat="1" ht="13.5" customHeight="1">
      <c r="A48" s="282">
        <v>210032</v>
      </c>
      <c r="B48" s="283" t="s">
        <v>143</v>
      </c>
      <c r="C48" s="283" t="s">
        <v>122</v>
      </c>
      <c r="D48" s="284">
        <v>143582954.13</v>
      </c>
      <c r="E48" s="281">
        <v>9519.87</v>
      </c>
      <c r="F48" s="285">
        <f t="shared" si="15"/>
        <v>0.008859546472692317</v>
      </c>
      <c r="G48" s="281">
        <v>61350.26</v>
      </c>
      <c r="H48" s="285">
        <f t="shared" si="16"/>
        <v>0.010458982889960713</v>
      </c>
      <c r="I48" s="281">
        <v>61676.37</v>
      </c>
      <c r="J48" s="285">
        <f t="shared" si="8"/>
        <v>0.005315543895005437</v>
      </c>
      <c r="K48" s="361">
        <v>0.019384</v>
      </c>
      <c r="L48" s="285">
        <f>VLOOKUP(A48,'5.PAU All Payer CY14'!$A$4:$W$51,23,FALSE)</f>
        <v>0.13185408994568462</v>
      </c>
      <c r="M48" s="356">
        <f t="shared" si="6"/>
        <v>0.01682814032049285</v>
      </c>
      <c r="N48" s="286">
        <f t="shared" si="17"/>
        <v>1032.4107839787196</v>
      </c>
      <c r="O48" s="293">
        <v>0.0059</v>
      </c>
      <c r="P48" s="281">
        <f t="shared" si="7"/>
        <v>361.966534</v>
      </c>
      <c r="R48" s="285">
        <f t="shared" si="11"/>
        <v>0.009510999999999999</v>
      </c>
      <c r="S48" s="285">
        <f t="shared" si="12"/>
        <v>0.010854079837632327</v>
      </c>
      <c r="T48" s="285">
        <f t="shared" si="13"/>
        <v>0.001155409059326853</v>
      </c>
      <c r="U48" s="285"/>
      <c r="V48" s="285">
        <v>0.009873</v>
      </c>
      <c r="W48" s="285">
        <v>0.1210000101080523</v>
      </c>
      <c r="X48" s="287">
        <v>0.004744590940673147</v>
      </c>
      <c r="Y48" s="287">
        <v>0.0058225</v>
      </c>
    </row>
    <row r="49" spans="1:25" s="288" customFormat="1" ht="13.5" customHeight="1">
      <c r="A49" s="282">
        <v>210024</v>
      </c>
      <c r="B49" s="283" t="s">
        <v>139</v>
      </c>
      <c r="C49" s="283" t="s">
        <v>231</v>
      </c>
      <c r="D49" s="284">
        <v>402323651.13</v>
      </c>
      <c r="E49" s="281">
        <v>30915.46</v>
      </c>
      <c r="F49" s="285">
        <f t="shared" si="15"/>
        <v>0.028771081390256418</v>
      </c>
      <c r="G49" s="281">
        <v>98074.59</v>
      </c>
      <c r="H49" s="285">
        <f t="shared" si="16"/>
        <v>0.01671974102065602</v>
      </c>
      <c r="I49" s="281">
        <v>98553.99</v>
      </c>
      <c r="J49" s="285">
        <f t="shared" si="8"/>
        <v>0.004888116279660348</v>
      </c>
      <c r="K49" s="361">
        <v>0.012594</v>
      </c>
      <c r="L49" s="285">
        <f>VLOOKUP(A49,'5.PAU All Payer CY14'!$A$4:$W$51,23,FALSE)</f>
        <v>0.14632487478692974</v>
      </c>
      <c r="M49" s="356">
        <f t="shared" si="6"/>
        <v>0.010751184526933407</v>
      </c>
      <c r="N49" s="286">
        <f t="shared" si="17"/>
        <v>1054.4180144933378</v>
      </c>
      <c r="O49" s="293">
        <f>M49*$O$60</f>
        <v>0.0043620442839856525</v>
      </c>
      <c r="P49" s="281">
        <f t="shared" si="7"/>
        <v>427.8057047137364</v>
      </c>
      <c r="R49" s="285">
        <f t="shared" si="11"/>
        <v>-0.0025010000000000015</v>
      </c>
      <c r="S49" s="285">
        <f t="shared" si="12"/>
        <v>-0.008371302215692294</v>
      </c>
      <c r="T49" s="285">
        <f t="shared" si="13"/>
        <v>-0.002613959679501528</v>
      </c>
      <c r="U49" s="285"/>
      <c r="V49" s="285">
        <v>0.015095</v>
      </c>
      <c r="W49" s="285">
        <v>0.15469617700262203</v>
      </c>
      <c r="X49" s="287">
        <v>0.00697600396348718</v>
      </c>
      <c r="Y49" s="287">
        <v>0.0059155</v>
      </c>
    </row>
    <row r="50" spans="1:25" s="288" customFormat="1" ht="13.5" customHeight="1">
      <c r="A50" s="282">
        <v>210002</v>
      </c>
      <c r="B50" s="283" t="s">
        <v>123</v>
      </c>
      <c r="C50" s="283" t="s">
        <v>231</v>
      </c>
      <c r="D50" s="284">
        <v>1361499881.71</v>
      </c>
      <c r="E50" s="281">
        <v>73051.13</v>
      </c>
      <c r="F50" s="285">
        <f t="shared" si="15"/>
        <v>0.06798410914410469</v>
      </c>
      <c r="G50" s="281">
        <v>373543.11</v>
      </c>
      <c r="H50" s="285">
        <f t="shared" si="16"/>
        <v>0.06368157194692757</v>
      </c>
      <c r="I50" s="281">
        <v>375474.87</v>
      </c>
      <c r="J50" s="285">
        <f t="shared" si="8"/>
        <v>0.0051714512951397396</v>
      </c>
      <c r="K50" s="361">
        <v>0.009929</v>
      </c>
      <c r="L50" s="285">
        <f>VLOOKUP(A50,'5.PAU All Payer CY14'!$A$4:$W$51,23,FALSE)</f>
        <v>0.0997160398263239</v>
      </c>
      <c r="M50" s="356">
        <f t="shared" si="6"/>
        <v>0.00893891944056443</v>
      </c>
      <c r="N50" s="286">
        <f t="shared" si="17"/>
        <v>3339.0717678678975</v>
      </c>
      <c r="O50" s="293">
        <f>M50*$O$60</f>
        <v>0.003626759670345282</v>
      </c>
      <c r="P50" s="281">
        <f t="shared" si="7"/>
        <v>1354.7510864833514</v>
      </c>
      <c r="R50" s="285">
        <f t="shared" si="11"/>
        <v>0.0014440000000000008</v>
      </c>
      <c r="S50" s="285">
        <f t="shared" si="12"/>
        <v>-0.017562851972287227</v>
      </c>
      <c r="T50" s="285">
        <f t="shared" si="13"/>
        <v>-0.0004680726894197825</v>
      </c>
      <c r="U50" s="285"/>
      <c r="V50" s="285">
        <v>0.008485</v>
      </c>
      <c r="W50" s="285">
        <v>0.11727889179861113</v>
      </c>
      <c r="X50" s="287">
        <v>0.004094832359765065</v>
      </c>
      <c r="Y50" s="287">
        <v>0.0039635</v>
      </c>
    </row>
    <row r="51" spans="1:25" s="288" customFormat="1" ht="13.5" customHeight="1">
      <c r="A51" s="282">
        <v>210049</v>
      </c>
      <c r="B51" s="283" t="s">
        <v>152</v>
      </c>
      <c r="C51" s="283" t="s">
        <v>231</v>
      </c>
      <c r="D51" s="284">
        <v>303080313.16</v>
      </c>
      <c r="E51" s="281">
        <v>25847.22</v>
      </c>
      <c r="F51" s="285">
        <f t="shared" si="15"/>
        <v>0.024054388009489867</v>
      </c>
      <c r="G51" s="281">
        <v>103460.46</v>
      </c>
      <c r="H51" s="285">
        <f t="shared" si="16"/>
        <v>0.01763792330998214</v>
      </c>
      <c r="I51" s="281">
        <v>103740.86</v>
      </c>
      <c r="J51" s="285">
        <f t="shared" si="8"/>
        <v>0.0027102141243138256</v>
      </c>
      <c r="K51" s="361">
        <v>0.015251</v>
      </c>
      <c r="L51" s="285">
        <f>VLOOKUP(A51,'5.PAU All Payer CY14'!$A$4:$W$51,23,FALSE)</f>
        <v>0.13983457732025428</v>
      </c>
      <c r="M51" s="356">
        <f t="shared" si="6"/>
        <v>0.013118382861288802</v>
      </c>
      <c r="N51" s="286">
        <f t="shared" si="17"/>
        <v>1357.2339252850556</v>
      </c>
      <c r="O51" s="293">
        <f>M51*$O$60</f>
        <v>0.005322480218981233</v>
      </c>
      <c r="P51" s="281">
        <f t="shared" si="7"/>
        <v>550.6662517966992</v>
      </c>
      <c r="R51" s="285">
        <f t="shared" si="11"/>
        <v>0.0004330000000000011</v>
      </c>
      <c r="S51" s="285">
        <f t="shared" si="12"/>
        <v>0.009874204949566284</v>
      </c>
      <c r="T51" s="285">
        <f t="shared" si="13"/>
        <v>-0.001725901116347824</v>
      </c>
      <c r="U51" s="285"/>
      <c r="V51" s="285">
        <v>0.014818</v>
      </c>
      <c r="W51" s="285">
        <v>0.129960372370688</v>
      </c>
      <c r="X51" s="287">
        <v>0.007048381335329057</v>
      </c>
      <c r="Y51" s="287">
        <v>0.007139</v>
      </c>
    </row>
    <row r="52" spans="1:25" s="288" customFormat="1" ht="13.5" customHeight="1">
      <c r="A52" s="282">
        <v>210016</v>
      </c>
      <c r="B52" s="283" t="s">
        <v>134</v>
      </c>
      <c r="C52" s="283" t="s">
        <v>231</v>
      </c>
      <c r="D52" s="284">
        <v>235772379.92</v>
      </c>
      <c r="E52" s="281">
        <v>16860.18</v>
      </c>
      <c r="F52" s="285">
        <f t="shared" si="15"/>
        <v>0.015690713029480184</v>
      </c>
      <c r="G52" s="281">
        <v>132425.31</v>
      </c>
      <c r="H52" s="285">
        <f t="shared" si="16"/>
        <v>0.0225758464835804</v>
      </c>
      <c r="I52" s="281">
        <v>133666.33</v>
      </c>
      <c r="J52" s="285">
        <f t="shared" si="8"/>
        <v>0.009371471359968853</v>
      </c>
      <c r="K52" s="361">
        <v>0.016655</v>
      </c>
      <c r="L52" s="285">
        <f>VLOOKUP(A52,'5.PAU All Payer CY14'!$A$4:$W$51,23,FALSE)</f>
        <v>0.16473893543287046</v>
      </c>
      <c r="M52" s="356">
        <f t="shared" si="6"/>
        <v>0.013911273030365543</v>
      </c>
      <c r="N52" s="286">
        <f t="shared" si="17"/>
        <v>1842.2046435407965</v>
      </c>
      <c r="O52" s="293">
        <f>M52*$O$60</f>
        <v>0.005644177053519346</v>
      </c>
      <c r="P52" s="281">
        <f t="shared" si="7"/>
        <v>747.431896007186</v>
      </c>
      <c r="R52" s="285">
        <f t="shared" si="11"/>
        <v>-0.007065999999999999</v>
      </c>
      <c r="S52" s="285">
        <f t="shared" si="12"/>
        <v>0.002463827797224427</v>
      </c>
      <c r="T52" s="285">
        <f t="shared" si="13"/>
        <v>-0.005219958658468356</v>
      </c>
      <c r="U52" s="285"/>
      <c r="V52" s="285">
        <v>0.023721</v>
      </c>
      <c r="W52" s="285">
        <v>0.16227510763564604</v>
      </c>
      <c r="X52" s="287">
        <v>0.010864135711987702</v>
      </c>
      <c r="Y52" s="287">
        <v>0.0075195</v>
      </c>
    </row>
    <row r="53" spans="1:25" s="288" customFormat="1" ht="13.5" customHeight="1" thickBot="1">
      <c r="A53" s="305">
        <v>210027</v>
      </c>
      <c r="B53" s="306" t="s">
        <v>140</v>
      </c>
      <c r="C53" s="306" t="s">
        <v>122</v>
      </c>
      <c r="D53" s="307">
        <v>231025448.25</v>
      </c>
      <c r="E53" s="308">
        <v>17081.75</v>
      </c>
      <c r="F53" s="309">
        <f t="shared" si="15"/>
        <v>0.015896914344409322</v>
      </c>
      <c r="G53" s="308">
        <v>72367.52</v>
      </c>
      <c r="H53" s="309">
        <f t="shared" si="16"/>
        <v>0.012337203680455303</v>
      </c>
      <c r="I53" s="308">
        <v>72132.87</v>
      </c>
      <c r="J53" s="309">
        <f t="shared" si="8"/>
        <v>-0.0032424767354195527</v>
      </c>
      <c r="K53" s="361">
        <v>0.005005</v>
      </c>
      <c r="L53" s="309">
        <f>VLOOKUP(A53,'5.PAU All Payer CY14'!$A$4:$W$51,23,FALSE)</f>
        <v>0.12800673954414152</v>
      </c>
      <c r="M53" s="356">
        <f t="shared" si="6"/>
        <v>0.004364326268581572</v>
      </c>
      <c r="N53" s="310">
        <f t="shared" si="17"/>
        <v>315.8354685281023</v>
      </c>
      <c r="O53" s="311">
        <v>0.0015</v>
      </c>
      <c r="P53" s="281">
        <f t="shared" si="7"/>
        <v>108.55128</v>
      </c>
      <c r="Q53" s="312"/>
      <c r="R53" s="309">
        <f t="shared" si="11"/>
        <v>0.003615</v>
      </c>
      <c r="S53" s="309">
        <f t="shared" si="12"/>
        <v>-0.02254534966532401</v>
      </c>
      <c r="T53" s="309">
        <f t="shared" si="13"/>
        <v>0.0008544761079181354</v>
      </c>
      <c r="U53" s="309"/>
      <c r="V53" s="309">
        <v>0.00139</v>
      </c>
      <c r="W53" s="309">
        <v>0.15055208920946553</v>
      </c>
      <c r="X53" s="313">
        <v>0.0006455238920818646</v>
      </c>
      <c r="Y53" s="313">
        <v>0.002249</v>
      </c>
    </row>
    <row r="54" spans="1:25" s="288" customFormat="1" ht="13.5" customHeight="1" thickTop="1">
      <c r="A54" s="314"/>
      <c r="B54" s="315"/>
      <c r="C54" s="304"/>
      <c r="D54" s="316"/>
      <c r="E54" s="317"/>
      <c r="F54" s="318"/>
      <c r="G54" s="317"/>
      <c r="H54" s="318"/>
      <c r="I54" s="317"/>
      <c r="J54" s="318"/>
      <c r="K54" s="285"/>
      <c r="L54" s="318"/>
      <c r="M54" s="318"/>
      <c r="N54" s="319"/>
      <c r="O54" s="320"/>
      <c r="P54" s="317"/>
      <c r="Q54" s="321"/>
      <c r="R54" s="318"/>
      <c r="S54" s="318"/>
      <c r="T54" s="318"/>
      <c r="U54" s="318"/>
      <c r="V54" s="318"/>
      <c r="W54" s="318"/>
      <c r="X54" s="322"/>
      <c r="Y54" s="322"/>
    </row>
    <row r="55" spans="1:25" s="1" customFormat="1" ht="15">
      <c r="A55" s="294" t="s">
        <v>281</v>
      </c>
      <c r="B55" s="294"/>
      <c r="C55" s="304"/>
      <c r="D55" s="295">
        <f>SUM(D3:D53)</f>
        <v>14098031744.06</v>
      </c>
      <c r="E55" s="296">
        <f>SUM(E3:E53)</f>
        <v>1074532.4299999997</v>
      </c>
      <c r="F55" s="297">
        <f>E55/$E$55</f>
        <v>1</v>
      </c>
      <c r="G55" s="296">
        <f>SUM(G3:G53)</f>
        <v>5865796.000000001</v>
      </c>
      <c r="H55" s="297">
        <f>G55/$G$55</f>
        <v>1</v>
      </c>
      <c r="I55" s="298">
        <f>SUM(I3:I53)</f>
        <v>5906403.9700000025</v>
      </c>
      <c r="J55" s="297">
        <f>I55/G55-1</f>
        <v>0.006922840480644288</v>
      </c>
      <c r="K55" s="362">
        <v>0.013813559148664556</v>
      </c>
      <c r="L55" s="297">
        <f>'5.PAU All Payer CY14'!W52</f>
        <v>0.1364697564413249</v>
      </c>
      <c r="M55" s="297">
        <f>N55/G55</f>
        <v>0.011830619399885509</v>
      </c>
      <c r="N55" s="123">
        <f>SUM(N3:N53)</f>
        <v>69395.99995337083</v>
      </c>
      <c r="O55" s="297">
        <f>P55/G55</f>
        <v>0.0047329431995287415</v>
      </c>
      <c r="P55" s="298">
        <f>SUM(P3:P53)</f>
        <v>27762.479288022896</v>
      </c>
      <c r="R55" s="297">
        <f>K55-V55</f>
        <v>0.0007910246277811339</v>
      </c>
      <c r="S55" s="297">
        <f>L55-L56</f>
        <v>-0.007025632141811539</v>
      </c>
      <c r="T55" s="297">
        <f>O55-X55</f>
        <v>-0.0012670568004712586</v>
      </c>
      <c r="U55" s="297"/>
      <c r="V55" s="297">
        <v>0.013022534520883422</v>
      </c>
      <c r="W55" s="297">
        <f>L55-L56</f>
        <v>-0.007025632141811539</v>
      </c>
      <c r="X55" s="297">
        <v>0.006</v>
      </c>
      <c r="Y55" s="297">
        <v>0.005687319658367107</v>
      </c>
    </row>
    <row r="56" spans="1:25" s="1" customFormat="1" ht="12.75">
      <c r="A56" s="1" t="s">
        <v>256</v>
      </c>
      <c r="E56" s="123">
        <v>1045009.8000000002</v>
      </c>
      <c r="F56" s="141"/>
      <c r="G56" s="123"/>
      <c r="H56" s="141"/>
      <c r="J56" s="141">
        <v>0.006792585002729945</v>
      </c>
      <c r="K56" s="362">
        <v>0.013022534520883422</v>
      </c>
      <c r="L56" s="141">
        <v>0.14349538858313643</v>
      </c>
      <c r="M56" s="141">
        <v>0.010974645033114626</v>
      </c>
      <c r="O56" s="141">
        <v>0.006</v>
      </c>
      <c r="R56" s="141"/>
      <c r="S56" s="141"/>
      <c r="T56" s="141"/>
      <c r="U56" s="141"/>
      <c r="V56" s="141"/>
      <c r="W56" s="141"/>
      <c r="X56" s="141"/>
      <c r="Y56" s="141"/>
    </row>
    <row r="57" spans="7:11" ht="12.75">
      <c r="G57" s="2"/>
      <c r="H57" s="2"/>
      <c r="K57" s="285"/>
    </row>
    <row r="58" spans="1:25" ht="27" customHeight="1">
      <c r="A58" t="s">
        <v>282</v>
      </c>
      <c r="D58" s="119"/>
      <c r="I58" s="3"/>
      <c r="J58" s="16"/>
      <c r="K58" s="328" t="s">
        <v>273</v>
      </c>
      <c r="L58" s="328"/>
      <c r="M58" s="257"/>
      <c r="N58" s="258"/>
      <c r="O58" s="300">
        <v>0.0057</v>
      </c>
      <c r="P58" s="132"/>
      <c r="R58" s="257"/>
      <c r="S58" s="257"/>
      <c r="T58" s="257"/>
      <c r="U58" s="257"/>
      <c r="V58" s="257"/>
      <c r="W58" s="257"/>
      <c r="X58" s="278"/>
      <c r="Y58" s="278"/>
    </row>
    <row r="59" spans="9:25" ht="43.5" customHeight="1">
      <c r="I59" s="15"/>
      <c r="J59" s="16"/>
      <c r="K59" s="327" t="s">
        <v>274</v>
      </c>
      <c r="L59" s="327"/>
      <c r="M59" s="259"/>
      <c r="N59" s="259"/>
      <c r="O59" s="299">
        <v>-0.0009</v>
      </c>
      <c r="P59" s="130"/>
      <c r="R59" s="259"/>
      <c r="S59" s="259"/>
      <c r="T59" s="259"/>
      <c r="U59" s="259"/>
      <c r="V59" s="259"/>
      <c r="W59" s="259"/>
      <c r="X59" s="279"/>
      <c r="Y59" s="279"/>
    </row>
    <row r="60" spans="9:25" ht="12.75">
      <c r="I60" s="131"/>
      <c r="J60" s="303"/>
      <c r="K60" s="260" t="s">
        <v>272</v>
      </c>
      <c r="L60" s="260"/>
      <c r="M60" s="261"/>
      <c r="N60" s="261"/>
      <c r="O60" s="324">
        <f>(O58+O59)/M55</f>
        <v>0.4057268548463703</v>
      </c>
      <c r="R60" s="261"/>
      <c r="S60" s="261"/>
      <c r="T60" s="261"/>
      <c r="U60" s="261"/>
      <c r="V60" s="261"/>
      <c r="W60" s="261"/>
      <c r="X60" s="280"/>
      <c r="Y60" s="280"/>
    </row>
    <row r="62" ht="12.75">
      <c r="O62" s="326"/>
    </row>
    <row r="65" ht="12.75">
      <c r="O65" s="301"/>
    </row>
    <row r="66" ht="12.75">
      <c r="O66" s="301"/>
    </row>
    <row r="67" ht="12.75">
      <c r="O67" s="302"/>
    </row>
  </sheetData>
  <sheetProtection/>
  <autoFilter ref="A2:Y56">
    <sortState ref="A3:Y67">
      <sortCondition sortBy="value" ref="B3:B67"/>
    </sortState>
  </autoFilter>
  <mergeCells count="2">
    <mergeCell ref="K59:L59"/>
    <mergeCell ref="K58:L58"/>
  </mergeCells>
  <printOptions/>
  <pageMargins left="0.25" right="0.25" top="0.25" bottom="0.25" header="0.3" footer="0.3"/>
  <pageSetup fitToHeight="0" fitToWidth="1" horizontalDpi="600" verticalDpi="600" orientation="landscape" paperSize="5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8.8515625" style="118" customWidth="1"/>
    <col min="3" max="3" width="14.28125" style="118" hidden="1" customWidth="1"/>
    <col min="4" max="4" width="8.8515625" style="118" customWidth="1"/>
    <col min="5" max="6" width="10.140625" style="118" bestFit="1" customWidth="1"/>
    <col min="7" max="7" width="8.8515625" style="118" customWidth="1"/>
    <col min="8" max="8" width="11.57421875" style="118" customWidth="1"/>
    <col min="9" max="9" width="10.7109375" style="118" customWidth="1"/>
    <col min="10" max="10" width="14.00390625" style="118" customWidth="1"/>
    <col min="11" max="11" width="14.00390625" style="118" hidden="1" customWidth="1"/>
    <col min="12" max="12" width="11.7109375" style="118" customWidth="1"/>
    <col min="13" max="13" width="11.7109375" style="118" hidden="1" customWidth="1"/>
    <col min="14" max="14" width="2.8515625" style="117" customWidth="1"/>
    <col min="15" max="15" width="8.8515625" style="118" customWidth="1"/>
    <col min="16" max="16" width="12.7109375" style="118" customWidth="1"/>
    <col min="17" max="17" width="8.8515625" style="118" customWidth="1"/>
    <col min="18" max="18" width="10.8515625" style="118" customWidth="1"/>
    <col min="19" max="19" width="15.7109375" style="118" customWidth="1"/>
    <col min="20" max="21" width="12.57421875" style="118" customWidth="1"/>
    <col min="22" max="22" width="12.8515625" style="118" customWidth="1"/>
    <col min="23" max="23" width="10.57421875" style="118" hidden="1" customWidth="1"/>
    <col min="24" max="24" width="12.7109375" style="118" hidden="1" customWidth="1"/>
    <col min="25" max="26" width="10.57421875" style="118" hidden="1" customWidth="1"/>
    <col min="27" max="27" width="13.140625" style="118" hidden="1" customWidth="1"/>
    <col min="28" max="28" width="10.7109375" style="118" hidden="1" customWidth="1"/>
    <col min="29" max="29" width="15.57421875" style="118" customWidth="1"/>
    <col min="30" max="30" width="3.7109375" style="118" customWidth="1"/>
    <col min="31" max="31" width="16.28125" style="118" customWidth="1"/>
    <col min="32" max="32" width="11.28125" style="118" customWidth="1"/>
    <col min="33" max="33" width="13.00390625" style="118" customWidth="1"/>
    <col min="34" max="34" width="16.00390625" style="118" customWidth="1"/>
    <col min="35" max="35" width="12.7109375" style="118" customWidth="1"/>
    <col min="36" max="16384" width="8.8515625" style="118" customWidth="1"/>
  </cols>
  <sheetData>
    <row r="2" spans="1:35" ht="14.25" customHeight="1">
      <c r="A2" s="116"/>
      <c r="B2" s="116"/>
      <c r="C2" s="116"/>
      <c r="D2" s="116"/>
      <c r="E2" s="329" t="s">
        <v>48</v>
      </c>
      <c r="F2" s="329"/>
      <c r="G2" s="329"/>
      <c r="H2" s="329"/>
      <c r="I2" s="329"/>
      <c r="J2" s="329"/>
      <c r="K2" s="329"/>
      <c r="L2" s="329"/>
      <c r="M2" s="115"/>
      <c r="N2" s="114"/>
      <c r="O2" s="330" t="s">
        <v>49</v>
      </c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116"/>
      <c r="AE2" s="331" t="s">
        <v>50</v>
      </c>
      <c r="AF2" s="331"/>
      <c r="AG2" s="331"/>
      <c r="AH2" s="331"/>
      <c r="AI2" s="331"/>
    </row>
    <row r="3" spans="1:34" s="117" customFormat="1" ht="14.25" customHeight="1">
      <c r="A3" s="113" t="s">
        <v>51</v>
      </c>
      <c r="B3" s="112"/>
      <c r="C3" s="112"/>
      <c r="D3" s="11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2"/>
      <c r="AE3" s="111"/>
      <c r="AF3" s="111"/>
      <c r="AG3" s="111"/>
      <c r="AH3" s="111"/>
    </row>
    <row r="4" spans="1:35" ht="63" customHeight="1">
      <c r="A4" s="110" t="s">
        <v>52</v>
      </c>
      <c r="B4" s="110" t="s">
        <v>17</v>
      </c>
      <c r="C4" s="109" t="s">
        <v>53</v>
      </c>
      <c r="D4" s="109" t="s">
        <v>54</v>
      </c>
      <c r="E4" s="109">
        <v>2013</v>
      </c>
      <c r="F4" s="109">
        <v>2018</v>
      </c>
      <c r="G4" s="109" t="s">
        <v>55</v>
      </c>
      <c r="H4" s="109" t="s">
        <v>56</v>
      </c>
      <c r="I4" s="108" t="s">
        <v>57</v>
      </c>
      <c r="J4" s="108" t="s">
        <v>58</v>
      </c>
      <c r="K4" s="108"/>
      <c r="L4" s="108" t="s">
        <v>59</v>
      </c>
      <c r="M4" s="108"/>
      <c r="N4" s="107"/>
      <c r="O4" s="106" t="s">
        <v>60</v>
      </c>
      <c r="P4" s="105" t="s">
        <v>61</v>
      </c>
      <c r="Q4" s="104" t="s">
        <v>19</v>
      </c>
      <c r="R4" s="104" t="s">
        <v>62</v>
      </c>
      <c r="S4" s="105" t="s">
        <v>63</v>
      </c>
      <c r="T4" s="103" t="s">
        <v>64</v>
      </c>
      <c r="U4" s="102" t="s">
        <v>65</v>
      </c>
      <c r="V4" s="104" t="s">
        <v>66</v>
      </c>
      <c r="W4" s="106" t="s">
        <v>67</v>
      </c>
      <c r="X4" s="102" t="s">
        <v>68</v>
      </c>
      <c r="Y4" s="104" t="s">
        <v>69</v>
      </c>
      <c r="Z4" s="106" t="s">
        <v>70</v>
      </c>
      <c r="AA4" s="102"/>
      <c r="AB4" s="104" t="s">
        <v>71</v>
      </c>
      <c r="AC4" s="109" t="s">
        <v>72</v>
      </c>
      <c r="AD4" s="109"/>
      <c r="AE4" s="109" t="s">
        <v>73</v>
      </c>
      <c r="AF4" s="101" t="s">
        <v>74</v>
      </c>
      <c r="AG4" s="100" t="s">
        <v>75</v>
      </c>
      <c r="AH4" s="100" t="s">
        <v>76</v>
      </c>
      <c r="AI4" s="100" t="s">
        <v>77</v>
      </c>
    </row>
    <row r="5" spans="1:35" s="90" customFormat="1" ht="12">
      <c r="A5" s="99">
        <v>210005</v>
      </c>
      <c r="B5" s="99">
        <v>21702</v>
      </c>
      <c r="C5" s="98" t="s">
        <v>78</v>
      </c>
      <c r="D5" s="98" t="s">
        <v>79</v>
      </c>
      <c r="E5" s="99">
        <v>3043</v>
      </c>
      <c r="F5" s="99">
        <v>3189</v>
      </c>
      <c r="G5" s="99">
        <v>0.68</v>
      </c>
      <c r="H5" s="99">
        <v>0.64</v>
      </c>
      <c r="I5" s="97">
        <f>(F5/E5)^(1/5)-1</f>
        <v>0.009416764757697482</v>
      </c>
      <c r="J5" s="97">
        <f aca="true" t="shared" si="0" ref="J5:J12">I5*G5</f>
        <v>0.006403400035234289</v>
      </c>
      <c r="K5" s="97">
        <f>E5*J5</f>
        <v>19.48554630721794</v>
      </c>
      <c r="L5" s="96">
        <f>I5*H5</f>
        <v>0.006026729444926389</v>
      </c>
      <c r="M5" s="95">
        <f>E5*L5</f>
        <v>18.339337700911003</v>
      </c>
      <c r="N5" s="94"/>
      <c r="O5" s="99">
        <v>509</v>
      </c>
      <c r="P5" s="93">
        <v>1924709.13</v>
      </c>
      <c r="Q5" s="99">
        <v>0.37568</v>
      </c>
      <c r="R5" s="92">
        <f>Q5*O5</f>
        <v>191.22112</v>
      </c>
      <c r="S5" s="91">
        <f>P5/R5</f>
        <v>10065.358523158948</v>
      </c>
      <c r="T5" s="99">
        <v>1886</v>
      </c>
      <c r="U5" s="93">
        <v>469657.95</v>
      </c>
      <c r="V5" s="92">
        <f>U5/S5</f>
        <v>46.66082672757104</v>
      </c>
      <c r="W5" s="99">
        <v>2406</v>
      </c>
      <c r="X5" s="99">
        <v>8546725.95</v>
      </c>
      <c r="Y5" s="99">
        <v>0.34014</v>
      </c>
      <c r="Z5" s="99">
        <v>818.37</v>
      </c>
      <c r="AC5" s="89">
        <f>R5+V5</f>
        <v>237.88194672757106</v>
      </c>
      <c r="AE5" s="88">
        <v>342.78</v>
      </c>
      <c r="AF5" s="87">
        <f>AC5/AE5</f>
        <v>0.6939784897822834</v>
      </c>
      <c r="AG5" s="88">
        <f>E5*AF5</f>
        <v>2111.7765444074885</v>
      </c>
      <c r="AH5" s="86">
        <f>AG5*(1+L5)</f>
        <v>2124.5036502887738</v>
      </c>
      <c r="AI5" s="85">
        <f>AH5/AG5-1</f>
        <v>0.0060267294449263265</v>
      </c>
    </row>
    <row r="6" spans="1:35" s="90" customFormat="1" ht="12">
      <c r="A6" s="99">
        <v>210005</v>
      </c>
      <c r="B6" s="99">
        <v>21702</v>
      </c>
      <c r="C6" s="98" t="s">
        <v>80</v>
      </c>
      <c r="D6" s="98" t="s">
        <v>81</v>
      </c>
      <c r="E6" s="99">
        <v>5401</v>
      </c>
      <c r="F6" s="99">
        <v>5863</v>
      </c>
      <c r="G6" s="99">
        <v>0.05</v>
      </c>
      <c r="H6" s="99">
        <v>0.05</v>
      </c>
      <c r="I6" s="97">
        <f aca="true" t="shared" si="1" ref="I6:I12">(F6/E6)^(1/5)-1</f>
        <v>0.016550933199600548</v>
      </c>
      <c r="J6" s="97">
        <f t="shared" si="0"/>
        <v>0.0008275466599800274</v>
      </c>
      <c r="K6" s="97">
        <f aca="true" t="shared" si="2" ref="K6:K12">E6*J6</f>
        <v>4.469579510552128</v>
      </c>
      <c r="L6" s="96">
        <f aca="true" t="shared" si="3" ref="L6:L12">I6*H6</f>
        <v>0.0008275466599800274</v>
      </c>
      <c r="M6" s="95">
        <f aca="true" t="shared" si="4" ref="M6:M12">E6*L6</f>
        <v>4.469579510552128</v>
      </c>
      <c r="N6" s="94"/>
      <c r="O6" s="99">
        <v>30</v>
      </c>
      <c r="P6" s="93">
        <v>131543.18</v>
      </c>
      <c r="Q6" s="99">
        <v>0.63772</v>
      </c>
      <c r="R6" s="92">
        <f aca="true" t="shared" si="5" ref="R6:R12">Q6*O6</f>
        <v>19.1316</v>
      </c>
      <c r="S6" s="91">
        <f aca="true" t="shared" si="6" ref="S6:S12">P6/R6</f>
        <v>6875.701979970311</v>
      </c>
      <c r="T6" s="99">
        <v>1448</v>
      </c>
      <c r="U6" s="93">
        <v>511169.81</v>
      </c>
      <c r="V6" s="92">
        <f aca="true" t="shared" si="7" ref="V6:V12">U6/S6</f>
        <v>74.34438134303883</v>
      </c>
      <c r="W6" s="99">
        <v>128</v>
      </c>
      <c r="X6" s="99">
        <v>582063.16</v>
      </c>
      <c r="Y6" s="99">
        <v>0.59954</v>
      </c>
      <c r="Z6" s="99">
        <v>76.74</v>
      </c>
      <c r="AC6" s="89">
        <f aca="true" t="shared" si="8" ref="AC6:AC12">R6+V6</f>
        <v>93.47598134303882</v>
      </c>
      <c r="AE6" s="88">
        <v>117.22</v>
      </c>
      <c r="AF6" s="87">
        <f aca="true" t="shared" si="9" ref="AF6:AF12">AC6/AE6</f>
        <v>0.7974405506145609</v>
      </c>
      <c r="AG6" s="88">
        <f aca="true" t="shared" si="10" ref="AG6:AG12">E6*AF6</f>
        <v>4306.9764138692435</v>
      </c>
      <c r="AH6" s="86">
        <f aca="true" t="shared" si="11" ref="AH6:AH12">AG6*(1+L6)</f>
        <v>4310.540637815154</v>
      </c>
      <c r="AI6" s="85">
        <f aca="true" t="shared" si="12" ref="AI6:AI13">AH6/AG6-1</f>
        <v>0.0008275466599800829</v>
      </c>
    </row>
    <row r="7" spans="1:35" s="90" customFormat="1" ht="12">
      <c r="A7" s="99">
        <v>210005</v>
      </c>
      <c r="B7" s="99">
        <v>21702</v>
      </c>
      <c r="C7" s="98" t="s">
        <v>82</v>
      </c>
      <c r="D7" s="98" t="s">
        <v>83</v>
      </c>
      <c r="E7" s="99">
        <v>16428</v>
      </c>
      <c r="F7" s="99">
        <v>16404</v>
      </c>
      <c r="G7" s="99">
        <v>1.63</v>
      </c>
      <c r="H7" s="99">
        <v>1.48</v>
      </c>
      <c r="I7" s="97">
        <f t="shared" si="1"/>
        <v>-0.00029235496885482437</v>
      </c>
      <c r="J7" s="97">
        <f t="shared" si="0"/>
        <v>-0.0004765385992333637</v>
      </c>
      <c r="K7" s="97">
        <f t="shared" si="2"/>
        <v>-7.828576108205699</v>
      </c>
      <c r="L7" s="96">
        <f t="shared" si="3"/>
        <v>-0.00043268535390514004</v>
      </c>
      <c r="M7" s="95">
        <f t="shared" si="4"/>
        <v>-7.10815499395364</v>
      </c>
      <c r="N7" s="94"/>
      <c r="O7" s="99">
        <v>915</v>
      </c>
      <c r="P7" s="93">
        <v>6812446.99</v>
      </c>
      <c r="Q7" s="99">
        <v>0.65621</v>
      </c>
      <c r="R7" s="92">
        <f t="shared" si="5"/>
        <v>600.43215</v>
      </c>
      <c r="S7" s="91">
        <f t="shared" si="6"/>
        <v>11345.906427562215</v>
      </c>
      <c r="T7" s="99">
        <v>8691</v>
      </c>
      <c r="U7" s="93">
        <v>6154142.19</v>
      </c>
      <c r="V7" s="92">
        <f t="shared" si="7"/>
        <v>542.4108006963602</v>
      </c>
      <c r="W7" s="99">
        <v>4737</v>
      </c>
      <c r="X7" s="99">
        <v>36446711.68</v>
      </c>
      <c r="Y7" s="99">
        <v>0.69166</v>
      </c>
      <c r="Z7" s="99">
        <v>3276.41</v>
      </c>
      <c r="AC7" s="89">
        <f t="shared" si="8"/>
        <v>1142.8429506963603</v>
      </c>
      <c r="AE7" s="88">
        <v>1599.42</v>
      </c>
      <c r="AF7" s="87">
        <f t="shared" si="9"/>
        <v>0.7145358634357206</v>
      </c>
      <c r="AG7" s="88">
        <f t="shared" si="10"/>
        <v>11738.395164522019</v>
      </c>
      <c r="AH7" s="86">
        <f t="shared" si="11"/>
        <v>11733.316132855978</v>
      </c>
      <c r="AI7" s="85">
        <f t="shared" si="12"/>
        <v>-0.00043268535390517116</v>
      </c>
    </row>
    <row r="8" spans="1:35" s="90" customFormat="1" ht="12">
      <c r="A8" s="99">
        <v>210005</v>
      </c>
      <c r="B8" s="99">
        <v>21702</v>
      </c>
      <c r="C8" s="98" t="s">
        <v>84</v>
      </c>
      <c r="D8" s="98" t="s">
        <v>85</v>
      </c>
      <c r="E8" s="99">
        <v>5922</v>
      </c>
      <c r="F8" s="99">
        <v>5833</v>
      </c>
      <c r="G8" s="99">
        <v>1.21</v>
      </c>
      <c r="H8" s="99">
        <v>1.05</v>
      </c>
      <c r="I8" s="97">
        <f t="shared" si="1"/>
        <v>-0.0030239749309292074</v>
      </c>
      <c r="J8" s="97">
        <f t="shared" si="0"/>
        <v>-0.003659009666424341</v>
      </c>
      <c r="K8" s="97">
        <f t="shared" si="2"/>
        <v>-21.66865524456495</v>
      </c>
      <c r="L8" s="96">
        <f t="shared" si="3"/>
        <v>-0.003175173677475668</v>
      </c>
      <c r="M8" s="95">
        <f t="shared" si="4"/>
        <v>-18.803378518010906</v>
      </c>
      <c r="N8" s="94"/>
      <c r="O8" s="99">
        <v>342</v>
      </c>
      <c r="P8" s="93">
        <v>3422337.51</v>
      </c>
      <c r="Q8" s="99">
        <v>0.9137</v>
      </c>
      <c r="R8" s="92">
        <f t="shared" si="5"/>
        <v>312.48539999999997</v>
      </c>
      <c r="S8" s="91">
        <f t="shared" si="6"/>
        <v>10951.991709052647</v>
      </c>
      <c r="T8" s="99">
        <v>2609</v>
      </c>
      <c r="U8" s="93">
        <v>2937743.43</v>
      </c>
      <c r="V8" s="92">
        <f t="shared" si="7"/>
        <v>268.23828103994396</v>
      </c>
      <c r="W8" s="99">
        <v>2204</v>
      </c>
      <c r="X8" s="99">
        <v>23729972.29</v>
      </c>
      <c r="Y8" s="99">
        <v>1.00281</v>
      </c>
      <c r="Z8" s="99">
        <v>2210.2</v>
      </c>
      <c r="AC8" s="89">
        <f t="shared" si="8"/>
        <v>580.7236810399439</v>
      </c>
      <c r="AE8" s="88">
        <v>837.02</v>
      </c>
      <c r="AF8" s="87">
        <f t="shared" si="9"/>
        <v>0.6937990502496284</v>
      </c>
      <c r="AG8" s="88">
        <f t="shared" si="10"/>
        <v>4108.677975578299</v>
      </c>
      <c r="AH8" s="86">
        <f t="shared" si="11"/>
        <v>4095.632209421019</v>
      </c>
      <c r="AI8" s="85">
        <f t="shared" si="12"/>
        <v>-0.0031751736774756623</v>
      </c>
    </row>
    <row r="9" spans="1:35" s="90" customFormat="1" ht="12">
      <c r="A9" s="99">
        <v>210005</v>
      </c>
      <c r="B9" s="99">
        <v>21702</v>
      </c>
      <c r="C9" s="98" t="s">
        <v>86</v>
      </c>
      <c r="D9" s="98" t="s">
        <v>33</v>
      </c>
      <c r="E9" s="99">
        <v>4611</v>
      </c>
      <c r="F9" s="99">
        <v>5480</v>
      </c>
      <c r="G9" s="99">
        <v>1.46</v>
      </c>
      <c r="H9" s="99">
        <v>1.24</v>
      </c>
      <c r="I9" s="97">
        <f t="shared" si="1"/>
        <v>0.03513522416162074</v>
      </c>
      <c r="J9" s="97">
        <f t="shared" si="0"/>
        <v>0.05129742727596628</v>
      </c>
      <c r="K9" s="97">
        <f t="shared" si="2"/>
        <v>236.53243716948052</v>
      </c>
      <c r="L9" s="96">
        <f t="shared" si="3"/>
        <v>0.043567677960409716</v>
      </c>
      <c r="M9" s="95">
        <f t="shared" si="4"/>
        <v>200.8905630754492</v>
      </c>
      <c r="N9" s="94"/>
      <c r="O9" s="99">
        <v>383</v>
      </c>
      <c r="P9" s="93">
        <v>4860737.97</v>
      </c>
      <c r="Q9" s="99">
        <v>1.17565</v>
      </c>
      <c r="R9" s="92">
        <f t="shared" si="5"/>
        <v>450.27395</v>
      </c>
      <c r="S9" s="91">
        <f t="shared" si="6"/>
        <v>10795.068135742695</v>
      </c>
      <c r="T9" s="99">
        <v>2304</v>
      </c>
      <c r="U9" s="93">
        <v>3768823.03</v>
      </c>
      <c r="V9" s="92">
        <f t="shared" si="7"/>
        <v>349.12452451516714</v>
      </c>
      <c r="W9" s="99">
        <v>2592</v>
      </c>
      <c r="X9" s="99">
        <v>31609323.84</v>
      </c>
      <c r="Y9" s="99">
        <v>1.11786</v>
      </c>
      <c r="Z9" s="99">
        <v>2897.5</v>
      </c>
      <c r="AC9" s="89">
        <f t="shared" si="8"/>
        <v>799.3984745151672</v>
      </c>
      <c r="AE9" s="88">
        <v>1109.36</v>
      </c>
      <c r="AF9" s="87">
        <f t="shared" si="9"/>
        <v>0.7205942836546904</v>
      </c>
      <c r="AG9" s="88">
        <f t="shared" si="10"/>
        <v>3322.6602419317774</v>
      </c>
      <c r="AH9" s="86">
        <f t="shared" si="11"/>
        <v>3467.420833324118</v>
      </c>
      <c r="AI9" s="85">
        <f t="shared" si="12"/>
        <v>0.04356767796040972</v>
      </c>
    </row>
    <row r="10" spans="1:35" s="90" customFormat="1" ht="12">
      <c r="A10" s="99">
        <v>210005</v>
      </c>
      <c r="B10" s="99">
        <v>21702</v>
      </c>
      <c r="C10" s="98" t="s">
        <v>87</v>
      </c>
      <c r="D10" s="98" t="s">
        <v>36</v>
      </c>
      <c r="E10" s="99">
        <v>2621</v>
      </c>
      <c r="F10" s="99">
        <v>3477</v>
      </c>
      <c r="G10" s="99">
        <v>2.21</v>
      </c>
      <c r="H10" s="99">
        <v>1.84</v>
      </c>
      <c r="I10" s="97">
        <f t="shared" si="1"/>
        <v>0.05815072526955456</v>
      </c>
      <c r="J10" s="97">
        <f t="shared" si="0"/>
        <v>0.12851310284571557</v>
      </c>
      <c r="K10" s="97">
        <f t="shared" si="2"/>
        <v>336.8328425586205</v>
      </c>
      <c r="L10" s="96">
        <f t="shared" si="3"/>
        <v>0.1069973344959804</v>
      </c>
      <c r="M10" s="95">
        <f t="shared" si="4"/>
        <v>280.4400137139646</v>
      </c>
      <c r="N10" s="94"/>
      <c r="O10" s="99">
        <v>465</v>
      </c>
      <c r="P10" s="93">
        <v>5753308.38</v>
      </c>
      <c r="Q10" s="99">
        <v>1.14134</v>
      </c>
      <c r="R10" s="92">
        <f t="shared" si="5"/>
        <v>530.7231</v>
      </c>
      <c r="S10" s="91">
        <f t="shared" si="6"/>
        <v>10840.508694646982</v>
      </c>
      <c r="T10" s="99">
        <v>2499</v>
      </c>
      <c r="U10" s="93">
        <v>4127025.77</v>
      </c>
      <c r="V10" s="92">
        <f t="shared" si="7"/>
        <v>380.7040689924372</v>
      </c>
      <c r="W10" s="99">
        <v>2533</v>
      </c>
      <c r="X10" s="99">
        <v>32420983.94</v>
      </c>
      <c r="Y10" s="99">
        <v>1.19312</v>
      </c>
      <c r="Z10" s="99">
        <v>3022.18</v>
      </c>
      <c r="AC10" s="89">
        <f t="shared" si="8"/>
        <v>911.4271689924373</v>
      </c>
      <c r="AE10" s="88">
        <v>1189.5</v>
      </c>
      <c r="AF10" s="87">
        <f t="shared" si="9"/>
        <v>0.7662271281987703</v>
      </c>
      <c r="AG10" s="88">
        <f t="shared" si="10"/>
        <v>2008.281303008977</v>
      </c>
      <c r="AH10" s="86">
        <f t="shared" si="11"/>
        <v>2223.162049349052</v>
      </c>
      <c r="AI10" s="85">
        <f t="shared" si="12"/>
        <v>0.10699733449598048</v>
      </c>
    </row>
    <row r="11" spans="1:35" s="90" customFormat="1" ht="12">
      <c r="A11" s="99">
        <v>210005</v>
      </c>
      <c r="B11" s="99">
        <v>21702</v>
      </c>
      <c r="C11" s="98" t="s">
        <v>88</v>
      </c>
      <c r="D11" s="98" t="s">
        <v>35</v>
      </c>
      <c r="E11" s="99">
        <v>1512</v>
      </c>
      <c r="F11" s="99">
        <v>1618</v>
      </c>
      <c r="G11" s="99">
        <v>3.14</v>
      </c>
      <c r="H11" s="99">
        <v>2.5</v>
      </c>
      <c r="I11" s="97">
        <f t="shared" si="1"/>
        <v>0.013643746045845395</v>
      </c>
      <c r="J11" s="97">
        <f t="shared" si="0"/>
        <v>0.042841362583954545</v>
      </c>
      <c r="K11" s="97">
        <f t="shared" si="2"/>
        <v>64.77614022693928</v>
      </c>
      <c r="L11" s="96">
        <f t="shared" si="3"/>
        <v>0.03410936511461349</v>
      </c>
      <c r="M11" s="95">
        <f t="shared" si="4"/>
        <v>51.573360053295595</v>
      </c>
      <c r="N11" s="94"/>
      <c r="O11" s="99">
        <v>495</v>
      </c>
      <c r="P11" s="93">
        <v>6050254.29</v>
      </c>
      <c r="Q11" s="99">
        <v>1.11563</v>
      </c>
      <c r="R11" s="92">
        <f t="shared" si="5"/>
        <v>552.23685</v>
      </c>
      <c r="S11" s="91">
        <f t="shared" si="6"/>
        <v>10955.904681116444</v>
      </c>
      <c r="T11" s="99">
        <v>1663</v>
      </c>
      <c r="U11" s="93">
        <v>2452958.59</v>
      </c>
      <c r="V11" s="92">
        <f t="shared" si="7"/>
        <v>223.89375057524094</v>
      </c>
      <c r="W11" s="99">
        <v>2507</v>
      </c>
      <c r="X11" s="99">
        <v>30524926.96</v>
      </c>
      <c r="Y11" s="99">
        <v>1.10474</v>
      </c>
      <c r="Z11" s="99">
        <v>2769.57</v>
      </c>
      <c r="AC11" s="89">
        <f t="shared" si="8"/>
        <v>776.1306005752409</v>
      </c>
      <c r="AE11" s="88">
        <v>881.25</v>
      </c>
      <c r="AF11" s="87">
        <f t="shared" si="9"/>
        <v>0.8807155751208408</v>
      </c>
      <c r="AG11" s="88">
        <f t="shared" si="10"/>
        <v>1331.6419495827113</v>
      </c>
      <c r="AH11" s="86">
        <f t="shared" si="11"/>
        <v>1377.063411042964</v>
      </c>
      <c r="AI11" s="85">
        <f t="shared" si="12"/>
        <v>0.0341093651146136</v>
      </c>
    </row>
    <row r="12" spans="1:35" s="90" customFormat="1" ht="12">
      <c r="A12" s="84">
        <v>210005</v>
      </c>
      <c r="B12" s="84">
        <v>21702</v>
      </c>
      <c r="C12" s="83" t="s">
        <v>89</v>
      </c>
      <c r="D12" s="83" t="s">
        <v>4</v>
      </c>
      <c r="E12" s="84">
        <v>944</v>
      </c>
      <c r="F12" s="84">
        <v>964</v>
      </c>
      <c r="G12" s="84">
        <v>3.43</v>
      </c>
      <c r="H12" s="84">
        <v>2.56</v>
      </c>
      <c r="I12" s="97">
        <f t="shared" si="1"/>
        <v>0.004201828724719192</v>
      </c>
      <c r="J12" s="97">
        <f t="shared" si="0"/>
        <v>0.01441227252578683</v>
      </c>
      <c r="K12" s="97">
        <f t="shared" si="2"/>
        <v>13.605185264342767</v>
      </c>
      <c r="L12" s="96">
        <f t="shared" si="3"/>
        <v>0.010756681535281132</v>
      </c>
      <c r="M12" s="95">
        <f t="shared" si="4"/>
        <v>10.15430736930539</v>
      </c>
      <c r="N12" s="94"/>
      <c r="O12" s="84">
        <v>395</v>
      </c>
      <c r="P12" s="82">
        <v>3978730.93</v>
      </c>
      <c r="Q12" s="84">
        <v>0.93548</v>
      </c>
      <c r="R12" s="92">
        <f t="shared" si="5"/>
        <v>369.5146</v>
      </c>
      <c r="S12" s="91">
        <f t="shared" si="6"/>
        <v>10767.452571562802</v>
      </c>
      <c r="T12" s="84">
        <v>1112</v>
      </c>
      <c r="U12" s="82">
        <v>1389744.39</v>
      </c>
      <c r="V12" s="92">
        <f t="shared" si="7"/>
        <v>129.06900501891792</v>
      </c>
      <c r="W12" s="84">
        <v>1861</v>
      </c>
      <c r="X12" s="84">
        <v>19641680.47</v>
      </c>
      <c r="Y12" s="84">
        <v>0.99468</v>
      </c>
      <c r="Z12" s="84">
        <v>1851.1</v>
      </c>
      <c r="AC12" s="89">
        <f t="shared" si="8"/>
        <v>498.58360501891786</v>
      </c>
      <c r="AE12" s="81">
        <v>542.13</v>
      </c>
      <c r="AF12" s="87">
        <f t="shared" si="9"/>
        <v>0.9196753638775162</v>
      </c>
      <c r="AG12" s="88">
        <f t="shared" si="10"/>
        <v>868.1735435003753</v>
      </c>
      <c r="AH12" s="86">
        <f t="shared" si="11"/>
        <v>877.5122098251653</v>
      </c>
      <c r="AI12" s="85">
        <f t="shared" si="12"/>
        <v>0.010756681535281087</v>
      </c>
    </row>
    <row r="13" spans="1:35" s="90" customFormat="1" ht="12" thickBot="1">
      <c r="A13" s="80" t="s">
        <v>90</v>
      </c>
      <c r="B13" s="80"/>
      <c r="C13" s="80"/>
      <c r="D13" s="80"/>
      <c r="E13" s="79">
        <f>SUM(E5:E12)</f>
        <v>40482</v>
      </c>
      <c r="F13" s="79">
        <f>SUM(F5:F12)</f>
        <v>42828</v>
      </c>
      <c r="G13" s="79"/>
      <c r="H13" s="79"/>
      <c r="I13" s="78">
        <f>F13/E13-1</f>
        <v>0.05795168222913882</v>
      </c>
      <c r="J13" s="78">
        <f>SUM(K5:K12)/E13</f>
        <v>0.015962761219415606</v>
      </c>
      <c r="K13" s="79"/>
      <c r="L13" s="77">
        <f>SUM(M5:M12)/E13</f>
        <v>0.01333816579989905</v>
      </c>
      <c r="M13" s="79"/>
      <c r="N13" s="79"/>
      <c r="O13" s="79">
        <f aca="true" t="shared" si="13" ref="O13:AH13">SUM(O5:O12)</f>
        <v>3534</v>
      </c>
      <c r="P13" s="76">
        <f t="shared" si="13"/>
        <v>32934068.38</v>
      </c>
      <c r="Q13" s="79"/>
      <c r="R13" s="79">
        <f t="shared" si="13"/>
        <v>3026.01877</v>
      </c>
      <c r="S13" s="79"/>
      <c r="T13" s="79">
        <f t="shared" si="13"/>
        <v>22212</v>
      </c>
      <c r="U13" s="76">
        <f t="shared" si="13"/>
        <v>21811265.16</v>
      </c>
      <c r="V13" s="79">
        <f t="shared" si="13"/>
        <v>2014.4456389086774</v>
      </c>
      <c r="W13" s="79">
        <f t="shared" si="13"/>
        <v>18968</v>
      </c>
      <c r="X13" s="79">
        <f t="shared" si="13"/>
        <v>183502388.29</v>
      </c>
      <c r="Y13" s="79">
        <f t="shared" si="13"/>
        <v>7.04455</v>
      </c>
      <c r="Z13" s="79">
        <f t="shared" si="13"/>
        <v>16922.07</v>
      </c>
      <c r="AA13" s="79">
        <f t="shared" si="13"/>
        <v>0</v>
      </c>
      <c r="AB13" s="79">
        <f t="shared" si="13"/>
        <v>0</v>
      </c>
      <c r="AC13" s="75">
        <f t="shared" si="13"/>
        <v>5040.464408908678</v>
      </c>
      <c r="AD13" s="79">
        <f t="shared" si="13"/>
        <v>0</v>
      </c>
      <c r="AE13" s="74">
        <f t="shared" si="13"/>
        <v>6618.68</v>
      </c>
      <c r="AF13" s="73">
        <f>AC13/AE13</f>
        <v>0.7615513076487574</v>
      </c>
      <c r="AG13" s="79">
        <f t="shared" si="13"/>
        <v>29796.58313640089</v>
      </c>
      <c r="AH13" s="79">
        <f t="shared" si="13"/>
        <v>30209.151133922227</v>
      </c>
      <c r="AI13" s="72">
        <f t="shared" si="12"/>
        <v>0.013846151272872698</v>
      </c>
    </row>
    <row r="14" spans="1:35" s="90" customFormat="1" ht="12" thickTop="1">
      <c r="A14" s="71"/>
      <c r="B14" s="71"/>
      <c r="C14" s="71"/>
      <c r="D14" s="71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9"/>
      <c r="Q14" s="70"/>
      <c r="R14" s="70"/>
      <c r="S14" s="70"/>
      <c r="T14" s="70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68"/>
    </row>
    <row r="15" spans="1:21" s="90" customFormat="1" ht="22.5" customHeight="1">
      <c r="A15" s="122" t="s">
        <v>91</v>
      </c>
      <c r="L15" s="71"/>
      <c r="M15" s="71"/>
      <c r="N15" s="67"/>
      <c r="P15" s="66"/>
      <c r="U15" s="66"/>
    </row>
    <row r="16" spans="1:34" s="90" customFormat="1" ht="24" hidden="1">
      <c r="A16" s="65" t="s">
        <v>16</v>
      </c>
      <c r="B16" s="65" t="s">
        <v>92</v>
      </c>
      <c r="C16" s="65" t="s">
        <v>31</v>
      </c>
      <c r="D16" s="65" t="s">
        <v>11</v>
      </c>
      <c r="E16" s="65">
        <v>2013</v>
      </c>
      <c r="F16" s="65">
        <v>2018</v>
      </c>
      <c r="G16" s="65" t="s">
        <v>14</v>
      </c>
      <c r="H16" s="65" t="s">
        <v>15</v>
      </c>
      <c r="I16" s="65" t="s">
        <v>93</v>
      </c>
      <c r="J16" s="65" t="s">
        <v>94</v>
      </c>
      <c r="K16" s="65"/>
      <c r="L16" s="65" t="s">
        <v>95</v>
      </c>
      <c r="M16" s="65"/>
      <c r="N16" s="64"/>
      <c r="O16" s="65" t="s">
        <v>18</v>
      </c>
      <c r="P16" s="63" t="s">
        <v>20</v>
      </c>
      <c r="Q16" s="65" t="s">
        <v>19</v>
      </c>
      <c r="R16" s="65" t="s">
        <v>27</v>
      </c>
      <c r="S16" s="65" t="s">
        <v>28</v>
      </c>
      <c r="T16" s="65" t="s">
        <v>21</v>
      </c>
      <c r="U16" s="63" t="s">
        <v>22</v>
      </c>
      <c r="V16" s="65" t="s">
        <v>29</v>
      </c>
      <c r="W16" s="65" t="s">
        <v>23</v>
      </c>
      <c r="X16" s="65" t="s">
        <v>26</v>
      </c>
      <c r="Y16" s="65" t="s">
        <v>24</v>
      </c>
      <c r="Z16" s="65" t="s">
        <v>25</v>
      </c>
      <c r="AC16" s="65" t="s">
        <v>30</v>
      </c>
      <c r="AE16" s="65" t="s">
        <v>96</v>
      </c>
      <c r="AF16" s="65" t="s">
        <v>97</v>
      </c>
      <c r="AG16" s="65" t="s">
        <v>98</v>
      </c>
      <c r="AH16" s="65" t="s">
        <v>99</v>
      </c>
    </row>
    <row r="17" spans="1:35" s="90" customFormat="1" ht="12">
      <c r="A17" s="99">
        <v>210005</v>
      </c>
      <c r="B17" s="99">
        <v>21702</v>
      </c>
      <c r="C17" s="98" t="s">
        <v>37</v>
      </c>
      <c r="D17" s="98" t="s">
        <v>34</v>
      </c>
      <c r="E17" s="99">
        <v>8444</v>
      </c>
      <c r="F17" s="99">
        <v>9052</v>
      </c>
      <c r="G17" s="99">
        <v>0.33</v>
      </c>
      <c r="H17" s="99">
        <v>0.32</v>
      </c>
      <c r="I17" s="97">
        <f aca="true" t="shared" si="14" ref="I17:I22">(F17/E17)^(1/5)-1</f>
        <v>0.014003056594091623</v>
      </c>
      <c r="J17" s="97">
        <f aca="true" t="shared" si="15" ref="J17:J22">I17*G17</f>
        <v>0.004621008676050236</v>
      </c>
      <c r="K17" s="97">
        <f aca="true" t="shared" si="16" ref="K17:K22">E17*J17</f>
        <v>39.01979726056819</v>
      </c>
      <c r="L17" s="96">
        <f aca="true" t="shared" si="17" ref="L17:L22">I17*H17</f>
        <v>0.004480978110109319</v>
      </c>
      <c r="M17" s="95">
        <f aca="true" t="shared" si="18" ref="M17:M22">E17*L17</f>
        <v>37.83737916176309</v>
      </c>
      <c r="N17" s="94"/>
      <c r="O17" s="99">
        <v>539</v>
      </c>
      <c r="P17" s="93">
        <v>2056252.31</v>
      </c>
      <c r="Q17" s="99">
        <v>0.39027</v>
      </c>
      <c r="R17" s="92">
        <f aca="true" t="shared" si="19" ref="R17:R22">Q17*O17</f>
        <v>210.35553000000002</v>
      </c>
      <c r="S17" s="91">
        <f aca="true" t="shared" si="20" ref="S17:S22">P17/R17</f>
        <v>9775.128374328928</v>
      </c>
      <c r="T17" s="99">
        <v>3334</v>
      </c>
      <c r="U17" s="93">
        <v>980827.76</v>
      </c>
      <c r="V17" s="92">
        <f>U17/S17</f>
        <v>100.33911805964746</v>
      </c>
      <c r="W17" s="99">
        <v>2534</v>
      </c>
      <c r="X17" s="99">
        <v>9128789.11</v>
      </c>
      <c r="Y17" s="99">
        <v>0.35324</v>
      </c>
      <c r="Z17" s="99">
        <v>895.11</v>
      </c>
      <c r="AC17" s="89">
        <v>310.69</v>
      </c>
      <c r="AE17" s="99">
        <v>442.53</v>
      </c>
      <c r="AF17" s="87">
        <f aca="true" t="shared" si="21" ref="AF17:AF23">AC17/AE17</f>
        <v>0.702076695365286</v>
      </c>
      <c r="AG17" s="88">
        <f aca="true" t="shared" si="22" ref="AG17:AG22">E17*AF17</f>
        <v>5928.335615664475</v>
      </c>
      <c r="AH17" s="86">
        <f aca="true" t="shared" si="23" ref="AH17:AH22">AG17*(1+L17)</f>
        <v>5954.900357787649</v>
      </c>
      <c r="AI17" s="85">
        <f aca="true" t="shared" si="24" ref="AI17:AI23">AH17/AG17-1</f>
        <v>0.00448097811010939</v>
      </c>
    </row>
    <row r="18" spans="1:35" s="90" customFormat="1" ht="12">
      <c r="A18" s="99">
        <v>210005</v>
      </c>
      <c r="B18" s="99">
        <v>21702</v>
      </c>
      <c r="C18" s="98" t="s">
        <v>38</v>
      </c>
      <c r="D18" s="98" t="s">
        <v>32</v>
      </c>
      <c r="E18" s="99">
        <v>22350</v>
      </c>
      <c r="F18" s="99">
        <v>22237</v>
      </c>
      <c r="G18" s="99">
        <v>0.73</v>
      </c>
      <c r="H18" s="99">
        <v>0.66</v>
      </c>
      <c r="I18" s="97">
        <f t="shared" si="14"/>
        <v>-0.0010132369009379083</v>
      </c>
      <c r="J18" s="97">
        <f t="shared" si="15"/>
        <v>-0.000739662937684673</v>
      </c>
      <c r="K18" s="97">
        <f t="shared" si="16"/>
        <v>-16.531466657252444</v>
      </c>
      <c r="L18" s="96">
        <f t="shared" si="17"/>
        <v>-0.0006687363546190195</v>
      </c>
      <c r="M18" s="95">
        <f t="shared" si="18"/>
        <v>-14.946257525735087</v>
      </c>
      <c r="N18" s="94"/>
      <c r="O18" s="99">
        <v>1257</v>
      </c>
      <c r="P18" s="93">
        <v>10234784.5</v>
      </c>
      <c r="Q18" s="99">
        <v>0.72627</v>
      </c>
      <c r="R18" s="92">
        <f t="shared" si="19"/>
        <v>912.92139</v>
      </c>
      <c r="S18" s="91">
        <f t="shared" si="20"/>
        <v>11211.024971164275</v>
      </c>
      <c r="T18" s="99">
        <v>11300</v>
      </c>
      <c r="U18" s="93">
        <v>9091885.62</v>
      </c>
      <c r="V18" s="99">
        <v>810.979</v>
      </c>
      <c r="W18" s="99">
        <v>6941</v>
      </c>
      <c r="X18" s="99">
        <v>60176683.97</v>
      </c>
      <c r="Y18" s="99">
        <v>0.79046</v>
      </c>
      <c r="Z18" s="99">
        <v>5486.61</v>
      </c>
      <c r="AC18" s="89">
        <v>1723.9</v>
      </c>
      <c r="AE18" s="99">
        <v>2435.11</v>
      </c>
      <c r="AF18" s="87">
        <f t="shared" si="21"/>
        <v>0.7079351651465436</v>
      </c>
      <c r="AG18" s="88">
        <f t="shared" si="22"/>
        <v>15822.35094102525</v>
      </c>
      <c r="AH18" s="86">
        <f t="shared" si="23"/>
        <v>15811.769959735446</v>
      </c>
      <c r="AI18" s="85">
        <f t="shared" si="24"/>
        <v>-0.0006687363546190594</v>
      </c>
    </row>
    <row r="19" spans="1:35" s="90" customFormat="1" ht="12">
      <c r="A19" s="99">
        <v>210005</v>
      </c>
      <c r="B19" s="99">
        <v>21702</v>
      </c>
      <c r="C19" s="98" t="s">
        <v>86</v>
      </c>
      <c r="D19" s="98" t="s">
        <v>33</v>
      </c>
      <c r="E19" s="99">
        <v>4611</v>
      </c>
      <c r="F19" s="99">
        <v>5480</v>
      </c>
      <c r="G19" s="99">
        <v>1.44</v>
      </c>
      <c r="H19" s="99">
        <v>1.26</v>
      </c>
      <c r="I19" s="97">
        <f t="shared" si="14"/>
        <v>0.03513522416162074</v>
      </c>
      <c r="J19" s="97">
        <f t="shared" si="15"/>
        <v>0.05059472279273386</v>
      </c>
      <c r="K19" s="97">
        <f t="shared" si="16"/>
        <v>233.29226679729584</v>
      </c>
      <c r="L19" s="96">
        <f t="shared" si="17"/>
        <v>0.04427038244364213</v>
      </c>
      <c r="M19" s="95">
        <f t="shared" si="18"/>
        <v>204.13073344763384</v>
      </c>
      <c r="N19" s="94"/>
      <c r="O19" s="99">
        <v>383</v>
      </c>
      <c r="P19" s="93">
        <v>4860737.97</v>
      </c>
      <c r="Q19" s="99">
        <v>1.17565</v>
      </c>
      <c r="R19" s="92">
        <f t="shared" si="19"/>
        <v>450.27395</v>
      </c>
      <c r="S19" s="91">
        <f t="shared" si="20"/>
        <v>10795.068135742695</v>
      </c>
      <c r="T19" s="99">
        <v>2304</v>
      </c>
      <c r="U19" s="93">
        <v>3768823.03</v>
      </c>
      <c r="V19" s="99">
        <v>349.125</v>
      </c>
      <c r="W19" s="99">
        <v>2592</v>
      </c>
      <c r="X19" s="99">
        <v>31609323.84</v>
      </c>
      <c r="Y19" s="99">
        <v>1.11786</v>
      </c>
      <c r="Z19" s="99">
        <v>2897.5</v>
      </c>
      <c r="AC19" s="89">
        <v>799.4</v>
      </c>
      <c r="AE19" s="99">
        <v>1109.36</v>
      </c>
      <c r="AF19" s="87">
        <f t="shared" si="21"/>
        <v>0.720595658758203</v>
      </c>
      <c r="AG19" s="88">
        <f t="shared" si="22"/>
        <v>3322.6665825340738</v>
      </c>
      <c r="AH19" s="86">
        <f t="shared" si="23"/>
        <v>3469.7623028755665</v>
      </c>
      <c r="AI19" s="85">
        <f t="shared" si="24"/>
        <v>0.04427038244364212</v>
      </c>
    </row>
    <row r="20" spans="1:35" s="90" customFormat="1" ht="12">
      <c r="A20" s="99">
        <v>210005</v>
      </c>
      <c r="B20" s="99">
        <v>21702</v>
      </c>
      <c r="C20" s="98" t="s">
        <v>87</v>
      </c>
      <c r="D20" s="98" t="s">
        <v>36</v>
      </c>
      <c r="E20" s="99">
        <v>2621</v>
      </c>
      <c r="F20" s="99">
        <v>3477</v>
      </c>
      <c r="G20" s="99">
        <v>2.21</v>
      </c>
      <c r="H20" s="99">
        <v>1.9</v>
      </c>
      <c r="I20" s="97">
        <f t="shared" si="14"/>
        <v>0.05815072526955456</v>
      </c>
      <c r="J20" s="97">
        <f t="shared" si="15"/>
        <v>0.12851310284571557</v>
      </c>
      <c r="K20" s="97">
        <f t="shared" si="16"/>
        <v>336.8328425586205</v>
      </c>
      <c r="L20" s="96">
        <f t="shared" si="17"/>
        <v>0.11048637801215366</v>
      </c>
      <c r="M20" s="95">
        <f t="shared" si="18"/>
        <v>289.58479676985473</v>
      </c>
      <c r="N20" s="94"/>
      <c r="O20" s="99">
        <v>465</v>
      </c>
      <c r="P20" s="93">
        <v>5753308.38</v>
      </c>
      <c r="Q20" s="99">
        <v>1.14134</v>
      </c>
      <c r="R20" s="92">
        <f t="shared" si="19"/>
        <v>530.7231</v>
      </c>
      <c r="S20" s="91">
        <f t="shared" si="20"/>
        <v>10840.508694646982</v>
      </c>
      <c r="T20" s="99">
        <v>2499</v>
      </c>
      <c r="U20" s="93">
        <v>4127025.77</v>
      </c>
      <c r="V20" s="99">
        <v>380.705</v>
      </c>
      <c r="W20" s="99">
        <v>2533</v>
      </c>
      <c r="X20" s="99">
        <v>32420983.94</v>
      </c>
      <c r="Y20" s="99">
        <v>1.19312</v>
      </c>
      <c r="Z20" s="99">
        <v>3022.18</v>
      </c>
      <c r="AC20" s="89">
        <v>911.43</v>
      </c>
      <c r="AE20" s="99">
        <v>1189.5</v>
      </c>
      <c r="AF20" s="87">
        <f t="shared" si="21"/>
        <v>0.7662295081967213</v>
      </c>
      <c r="AG20" s="88">
        <f t="shared" si="22"/>
        <v>2008.2875409836065</v>
      </c>
      <c r="AH20" s="86">
        <f t="shared" si="23"/>
        <v>2230.1759573938198</v>
      </c>
      <c r="AI20" s="85">
        <f t="shared" si="24"/>
        <v>0.11048637801215366</v>
      </c>
    </row>
    <row r="21" spans="1:35" s="90" customFormat="1" ht="12">
      <c r="A21" s="99">
        <v>210005</v>
      </c>
      <c r="B21" s="99">
        <v>21702</v>
      </c>
      <c r="C21" s="98" t="s">
        <v>88</v>
      </c>
      <c r="D21" s="98" t="s">
        <v>35</v>
      </c>
      <c r="E21" s="99">
        <v>1512</v>
      </c>
      <c r="F21" s="99">
        <v>1618</v>
      </c>
      <c r="G21" s="99">
        <v>3.13</v>
      </c>
      <c r="H21" s="99">
        <v>2.62</v>
      </c>
      <c r="I21" s="97">
        <f t="shared" si="14"/>
        <v>0.013643746045845395</v>
      </c>
      <c r="J21" s="97">
        <f t="shared" si="15"/>
        <v>0.042704925123496086</v>
      </c>
      <c r="K21" s="97">
        <f t="shared" si="16"/>
        <v>64.56984678672609</v>
      </c>
      <c r="L21" s="96">
        <f t="shared" si="17"/>
        <v>0.035746614640114936</v>
      </c>
      <c r="M21" s="95">
        <f t="shared" si="18"/>
        <v>54.048881335853785</v>
      </c>
      <c r="N21" s="94"/>
      <c r="O21" s="99">
        <v>495</v>
      </c>
      <c r="P21" s="93">
        <v>6050254.29</v>
      </c>
      <c r="Q21" s="99">
        <v>1.11563</v>
      </c>
      <c r="R21" s="92">
        <f t="shared" si="19"/>
        <v>552.23685</v>
      </c>
      <c r="S21" s="91">
        <f t="shared" si="20"/>
        <v>10955.904681116444</v>
      </c>
      <c r="T21" s="99">
        <v>1663</v>
      </c>
      <c r="U21" s="93">
        <v>2452958.59</v>
      </c>
      <c r="V21" s="99">
        <v>223.894</v>
      </c>
      <c r="W21" s="99">
        <v>2507</v>
      </c>
      <c r="X21" s="99">
        <v>30524926.96</v>
      </c>
      <c r="Y21" s="99">
        <v>1.10474</v>
      </c>
      <c r="Z21" s="99">
        <v>2769.57</v>
      </c>
      <c r="AC21" s="89">
        <v>776.13</v>
      </c>
      <c r="AE21" s="99">
        <v>881.25</v>
      </c>
      <c r="AF21" s="87">
        <f t="shared" si="21"/>
        <v>0.8807148936170213</v>
      </c>
      <c r="AG21" s="88">
        <f t="shared" si="22"/>
        <v>1331.640919148936</v>
      </c>
      <c r="AH21" s="86">
        <f t="shared" si="23"/>
        <v>1379.2425739247615</v>
      </c>
      <c r="AI21" s="85">
        <f t="shared" si="24"/>
        <v>0.03574661464011486</v>
      </c>
    </row>
    <row r="22" spans="1:35" s="90" customFormat="1" ht="12">
      <c r="A22" s="99">
        <v>210005</v>
      </c>
      <c r="B22" s="99">
        <v>21702</v>
      </c>
      <c r="C22" s="98" t="s">
        <v>89</v>
      </c>
      <c r="D22" s="98" t="s">
        <v>4</v>
      </c>
      <c r="E22" s="99">
        <v>944</v>
      </c>
      <c r="F22" s="99">
        <v>964</v>
      </c>
      <c r="G22" s="99">
        <v>3.42</v>
      </c>
      <c r="H22" s="99">
        <v>2.72</v>
      </c>
      <c r="I22" s="97">
        <f t="shared" si="14"/>
        <v>0.004201828724719192</v>
      </c>
      <c r="J22" s="97">
        <f t="shared" si="15"/>
        <v>0.014370254238539637</v>
      </c>
      <c r="K22" s="97">
        <f t="shared" si="16"/>
        <v>13.565520001181417</v>
      </c>
      <c r="L22" s="96">
        <f t="shared" si="17"/>
        <v>0.011428974131236204</v>
      </c>
      <c r="M22" s="95">
        <f t="shared" si="18"/>
        <v>10.788951579886977</v>
      </c>
      <c r="N22" s="94"/>
      <c r="O22" s="99">
        <v>395</v>
      </c>
      <c r="P22" s="93">
        <v>3978730.93</v>
      </c>
      <c r="Q22" s="99">
        <v>0.93548</v>
      </c>
      <c r="R22" s="92">
        <f t="shared" si="19"/>
        <v>369.5146</v>
      </c>
      <c r="S22" s="91">
        <f t="shared" si="20"/>
        <v>10767.452571562802</v>
      </c>
      <c r="T22" s="99">
        <v>1112</v>
      </c>
      <c r="U22" s="93">
        <v>1389744.39</v>
      </c>
      <c r="V22" s="99">
        <v>129.07</v>
      </c>
      <c r="W22" s="99">
        <v>1861</v>
      </c>
      <c r="X22" s="99">
        <v>19641680.47</v>
      </c>
      <c r="Y22" s="99">
        <v>0.99468</v>
      </c>
      <c r="Z22" s="99">
        <v>1851.1</v>
      </c>
      <c r="AC22" s="89">
        <v>498.59</v>
      </c>
      <c r="AE22" s="99">
        <v>542.13</v>
      </c>
      <c r="AF22" s="87">
        <f t="shared" si="21"/>
        <v>0.9196871599062955</v>
      </c>
      <c r="AG22" s="88">
        <f t="shared" si="22"/>
        <v>868.1846789515429</v>
      </c>
      <c r="AH22" s="86">
        <f t="shared" si="23"/>
        <v>878.1071391884155</v>
      </c>
      <c r="AI22" s="85">
        <f t="shared" si="24"/>
        <v>0.011428974131236114</v>
      </c>
    </row>
    <row r="23" spans="1:35" s="90" customFormat="1" ht="12" thickBot="1">
      <c r="A23" s="80" t="s">
        <v>90</v>
      </c>
      <c r="B23" s="80"/>
      <c r="C23" s="80"/>
      <c r="D23" s="80"/>
      <c r="E23" s="79">
        <f>SUM(E17:E22)</f>
        <v>40482</v>
      </c>
      <c r="F23" s="79">
        <f>SUM(F17:F22)</f>
        <v>42828</v>
      </c>
      <c r="G23" s="79"/>
      <c r="H23" s="79"/>
      <c r="I23" s="78">
        <f>F23/E23-1</f>
        <v>0.05795168222913882</v>
      </c>
      <c r="J23" s="78">
        <f>SUM(K17:K22)/E23</f>
        <v>0.016569062960010365</v>
      </c>
      <c r="K23" s="79"/>
      <c r="L23" s="77">
        <f>SUM(M17:M22)/E23</f>
        <v>0.014363037517149782</v>
      </c>
      <c r="M23" s="79"/>
      <c r="N23" s="79"/>
      <c r="O23" s="79">
        <f>SUM(O17:O22)</f>
        <v>3534</v>
      </c>
      <c r="P23" s="76">
        <f>SUM(P17:P22)</f>
        <v>32934068.38</v>
      </c>
      <c r="Q23" s="79"/>
      <c r="R23" s="79">
        <f>SUM(R17:R22)</f>
        <v>3026.0254200000004</v>
      </c>
      <c r="S23" s="79">
        <f>SUM(S17:S22)</f>
        <v>64345.08742856213</v>
      </c>
      <c r="T23" s="79">
        <f aca="true" t="shared" si="25" ref="T23:AH23">SUM(T17:T22)</f>
        <v>22212</v>
      </c>
      <c r="U23" s="76">
        <f t="shared" si="25"/>
        <v>21811265.16</v>
      </c>
      <c r="V23" s="79">
        <f t="shared" si="25"/>
        <v>1994.1121180596474</v>
      </c>
      <c r="W23" s="79">
        <f t="shared" si="25"/>
        <v>18968</v>
      </c>
      <c r="X23" s="79">
        <f t="shared" si="25"/>
        <v>183502388.29</v>
      </c>
      <c r="Y23" s="79">
        <f t="shared" si="25"/>
        <v>5.5541</v>
      </c>
      <c r="Z23" s="79">
        <f t="shared" si="25"/>
        <v>16922.07</v>
      </c>
      <c r="AA23" s="79">
        <f t="shared" si="25"/>
        <v>0</v>
      </c>
      <c r="AB23" s="79">
        <f t="shared" si="25"/>
        <v>0</v>
      </c>
      <c r="AC23" s="75">
        <f t="shared" si="25"/>
        <v>5020.14</v>
      </c>
      <c r="AD23" s="79">
        <f t="shared" si="25"/>
        <v>0</v>
      </c>
      <c r="AE23" s="74">
        <f t="shared" si="25"/>
        <v>6599.88</v>
      </c>
      <c r="AF23" s="73">
        <f t="shared" si="21"/>
        <v>0.7606411025655012</v>
      </c>
      <c r="AG23" s="79">
        <f t="shared" si="25"/>
        <v>29281.466278307886</v>
      </c>
      <c r="AH23" s="79">
        <f t="shared" si="25"/>
        <v>29723.95829090566</v>
      </c>
      <c r="AI23" s="72">
        <f t="shared" si="24"/>
        <v>0.015111675364617216</v>
      </c>
    </row>
    <row r="24" spans="9:18" ht="15" thickTop="1">
      <c r="I24" s="62"/>
      <c r="J24" s="62"/>
      <c r="K24" s="62"/>
      <c r="R24" s="61"/>
    </row>
  </sheetData>
  <sheetProtection/>
  <mergeCells count="3">
    <mergeCell ref="E2:L2"/>
    <mergeCell ref="O2:AC2"/>
    <mergeCell ref="AE2:AI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28125" style="118" customWidth="1"/>
    <col min="2" max="2" width="13.421875" style="201" customWidth="1"/>
    <col min="3" max="3" width="15.00390625" style="118" customWidth="1"/>
    <col min="4" max="4" width="13.7109375" style="118" customWidth="1"/>
    <col min="5" max="5" width="14.28125" style="118" customWidth="1"/>
    <col min="6" max="6" width="8.57421875" style="118" customWidth="1"/>
    <col min="7" max="7" width="10.7109375" style="118" customWidth="1"/>
    <col min="8" max="8" width="12.57421875" style="118" customWidth="1"/>
    <col min="9" max="9" width="9.57421875" style="118" customWidth="1"/>
    <col min="10" max="10" width="13.8515625" style="118" customWidth="1"/>
    <col min="11" max="11" width="14.00390625" style="118" customWidth="1"/>
    <col min="12" max="12" width="15.7109375" style="118" customWidth="1"/>
    <col min="13" max="13" width="17.57421875" style="118" bestFit="1" customWidth="1"/>
    <col min="14" max="14" width="15.28125" style="118" customWidth="1"/>
    <col min="15" max="15" width="16.421875" style="118" customWidth="1"/>
    <col min="16" max="16" width="14.00390625" style="118" customWidth="1"/>
    <col min="17" max="17" width="13.8515625" style="118" customWidth="1"/>
    <col min="18" max="18" width="17.57421875" style="118" customWidth="1"/>
    <col min="19" max="19" width="16.8515625" style="118" customWidth="1"/>
    <col min="20" max="20" width="12.140625" style="118" customWidth="1"/>
    <col min="21" max="21" width="13.28125" style="118" customWidth="1"/>
    <col min="22" max="22" width="13.57421875" style="118" customWidth="1"/>
    <col min="23" max="23" width="14.28125" style="118" customWidth="1"/>
    <col min="24" max="16384" width="8.8515625" style="118" customWidth="1"/>
  </cols>
  <sheetData>
    <row r="1" spans="1:23" ht="21" thickBot="1">
      <c r="A1" s="334" t="s">
        <v>195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ht="30.75" customHeight="1">
      <c r="A2" s="335" t="s">
        <v>196</v>
      </c>
      <c r="B2" s="336"/>
      <c r="C2" s="337"/>
      <c r="D2" s="341" t="s">
        <v>107</v>
      </c>
      <c r="E2" s="342"/>
      <c r="F2" s="342"/>
      <c r="G2" s="342"/>
      <c r="H2" s="342"/>
      <c r="I2" s="342"/>
      <c r="J2" s="342"/>
      <c r="K2" s="343"/>
      <c r="L2" s="344" t="s">
        <v>108</v>
      </c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6"/>
    </row>
    <row r="3" spans="1:23" ht="30" customHeight="1" thickBot="1">
      <c r="A3" s="338"/>
      <c r="B3" s="339"/>
      <c r="C3" s="340"/>
      <c r="D3" s="347" t="s">
        <v>109</v>
      </c>
      <c r="E3" s="348"/>
      <c r="F3" s="348"/>
      <c r="G3" s="348"/>
      <c r="H3" s="348"/>
      <c r="I3" s="348"/>
      <c r="J3" s="348"/>
      <c r="K3" s="349"/>
      <c r="L3" s="350" t="s">
        <v>109</v>
      </c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2"/>
    </row>
    <row r="4" spans="1:23" ht="65.25" customHeight="1" thickBot="1">
      <c r="A4" s="156" t="s">
        <v>110</v>
      </c>
      <c r="B4" s="157" t="s">
        <v>111</v>
      </c>
      <c r="C4" s="158" t="s">
        <v>112</v>
      </c>
      <c r="D4" s="159" t="s">
        <v>197</v>
      </c>
      <c r="E4" s="160" t="s">
        <v>198</v>
      </c>
      <c r="F4" s="160" t="s">
        <v>113</v>
      </c>
      <c r="G4" s="160" t="s">
        <v>114</v>
      </c>
      <c r="H4" s="160" t="s">
        <v>199</v>
      </c>
      <c r="I4" s="160" t="s">
        <v>115</v>
      </c>
      <c r="J4" s="160" t="s">
        <v>116</v>
      </c>
      <c r="K4" s="161" t="s">
        <v>200</v>
      </c>
      <c r="L4" s="162" t="s">
        <v>120</v>
      </c>
      <c r="M4" s="163" t="s">
        <v>201</v>
      </c>
      <c r="N4" s="163" t="s">
        <v>202</v>
      </c>
      <c r="O4" s="163" t="s">
        <v>203</v>
      </c>
      <c r="P4" s="163" t="s">
        <v>204</v>
      </c>
      <c r="Q4" s="163" t="s">
        <v>205</v>
      </c>
      <c r="R4" s="163" t="s">
        <v>206</v>
      </c>
      <c r="S4" s="163" t="s">
        <v>207</v>
      </c>
      <c r="T4" s="163" t="s">
        <v>118</v>
      </c>
      <c r="U4" s="163" t="s">
        <v>116</v>
      </c>
      <c r="V4" s="163" t="s">
        <v>119</v>
      </c>
      <c r="W4" s="164" t="s">
        <v>117</v>
      </c>
    </row>
    <row r="5" spans="1:23" ht="30.75" customHeight="1" thickBot="1">
      <c r="A5" s="165" t="s">
        <v>208</v>
      </c>
      <c r="B5" s="166" t="s">
        <v>209</v>
      </c>
      <c r="C5" s="167" t="s">
        <v>210</v>
      </c>
      <c r="D5" s="168" t="s">
        <v>211</v>
      </c>
      <c r="E5" s="169" t="s">
        <v>212</v>
      </c>
      <c r="F5" s="169" t="s">
        <v>213</v>
      </c>
      <c r="G5" s="169" t="s">
        <v>214</v>
      </c>
      <c r="H5" s="169" t="s">
        <v>215</v>
      </c>
      <c r="I5" s="169" t="s">
        <v>216</v>
      </c>
      <c r="J5" s="169" t="s">
        <v>217</v>
      </c>
      <c r="K5" s="170" t="s">
        <v>218</v>
      </c>
      <c r="L5" s="171" t="s">
        <v>219</v>
      </c>
      <c r="M5" s="172" t="s">
        <v>220</v>
      </c>
      <c r="N5" s="172" t="s">
        <v>221</v>
      </c>
      <c r="O5" s="172" t="s">
        <v>222</v>
      </c>
      <c r="P5" s="172" t="s">
        <v>223</v>
      </c>
      <c r="Q5" s="172" t="s">
        <v>224</v>
      </c>
      <c r="R5" s="172" t="s">
        <v>225</v>
      </c>
      <c r="S5" s="172" t="s">
        <v>226</v>
      </c>
      <c r="T5" s="172" t="s">
        <v>227</v>
      </c>
      <c r="U5" s="172" t="s">
        <v>228</v>
      </c>
      <c r="V5" s="172" t="s">
        <v>229</v>
      </c>
      <c r="W5" s="173" t="s">
        <v>230</v>
      </c>
    </row>
    <row r="6" spans="1:23" ht="15">
      <c r="A6" s="174">
        <v>210001</v>
      </c>
      <c r="B6" s="175" t="s">
        <v>121</v>
      </c>
      <c r="C6" s="176" t="s">
        <v>122</v>
      </c>
      <c r="D6" s="177">
        <v>19989</v>
      </c>
      <c r="E6" s="178">
        <v>2127</v>
      </c>
      <c r="F6" s="178">
        <v>2205</v>
      </c>
      <c r="G6" s="178">
        <v>479</v>
      </c>
      <c r="H6" s="178">
        <v>3691</v>
      </c>
      <c r="I6" s="179">
        <f>F6/D6</f>
        <v>0.11031067086897794</v>
      </c>
      <c r="J6" s="179">
        <f>E6/D6</f>
        <v>0.10640852468857871</v>
      </c>
      <c r="K6" s="180">
        <f>H6/D6</f>
        <v>0.1846515583570964</v>
      </c>
      <c r="L6" s="181">
        <v>109261878.61</v>
      </c>
      <c r="M6" s="182">
        <v>197220122.98</v>
      </c>
      <c r="N6" s="182">
        <v>4636329.4</v>
      </c>
      <c r="O6" s="182">
        <v>27925520.35</v>
      </c>
      <c r="P6" s="182">
        <v>18601934.49</v>
      </c>
      <c r="Q6" s="182">
        <v>4782520.53</v>
      </c>
      <c r="R6" s="182">
        <v>43162082.38</v>
      </c>
      <c r="S6" s="183">
        <f>Q6+R6</f>
        <v>47944602.910000004</v>
      </c>
      <c r="T6" s="179">
        <f>P6/(L6+M6)</f>
        <v>0.06069503068204626</v>
      </c>
      <c r="U6" s="179">
        <f>O6/(L6+M6)</f>
        <v>0.09111634681686041</v>
      </c>
      <c r="V6" s="179">
        <f>Q6/(L6+M6)</f>
        <v>0.015604572226717166</v>
      </c>
      <c r="W6" s="184">
        <f>S6/(L6+M6)</f>
        <v>0.15643529688943522</v>
      </c>
    </row>
    <row r="7" spans="1:23" ht="15">
      <c r="A7" s="185">
        <v>210002</v>
      </c>
      <c r="B7" s="186" t="s">
        <v>123</v>
      </c>
      <c r="C7" s="187" t="s">
        <v>231</v>
      </c>
      <c r="D7" s="188">
        <v>33117</v>
      </c>
      <c r="E7" s="189">
        <v>5180</v>
      </c>
      <c r="F7" s="189">
        <v>1547</v>
      </c>
      <c r="G7" s="189">
        <v>1680</v>
      </c>
      <c r="H7" s="189">
        <v>5844</v>
      </c>
      <c r="I7" s="134">
        <f aca="true" t="shared" si="0" ref="I7:I52">F7/D7</f>
        <v>0.046713168463326994</v>
      </c>
      <c r="J7" s="134">
        <f aca="true" t="shared" si="1" ref="J7:J52">E7/D7</f>
        <v>0.1564151342210949</v>
      </c>
      <c r="K7" s="190">
        <f aca="true" t="shared" si="2" ref="K7:K52">H7/D7</f>
        <v>0.1764652595343781</v>
      </c>
      <c r="L7" s="191">
        <v>435091508.39</v>
      </c>
      <c r="M7" s="192">
        <v>1069609367.33</v>
      </c>
      <c r="N7" s="192">
        <v>10969582.12</v>
      </c>
      <c r="O7" s="192">
        <v>103534022.48</v>
      </c>
      <c r="P7" s="192">
        <v>30714980.28</v>
      </c>
      <c r="Q7" s="192">
        <v>27730607.25</v>
      </c>
      <c r="R7" s="192">
        <v>122312205.2</v>
      </c>
      <c r="S7" s="193">
        <f aca="true" t="shared" si="3" ref="S7:S51">Q7+R7</f>
        <v>150042812.45</v>
      </c>
      <c r="T7" s="134">
        <f aca="true" t="shared" si="4" ref="T7:T52">P7/(L7+M7)</f>
        <v>0.02041268186628978</v>
      </c>
      <c r="U7" s="134">
        <f aca="true" t="shared" si="5" ref="U7:U51">O7/(L7+M7)</f>
        <v>0.06880704607183732</v>
      </c>
      <c r="V7" s="134">
        <f aca="true" t="shared" si="6" ref="V7:V52">Q7/(L7+M7)</f>
        <v>0.018429315551990285</v>
      </c>
      <c r="W7" s="194">
        <f aca="true" t="shared" si="7" ref="W7:W52">S7/(L7+M7)</f>
        <v>0.0997160398263239</v>
      </c>
    </row>
    <row r="8" spans="1:23" ht="15">
      <c r="A8" s="185">
        <v>210003</v>
      </c>
      <c r="B8" s="186" t="s">
        <v>124</v>
      </c>
      <c r="C8" s="187" t="s">
        <v>231</v>
      </c>
      <c r="D8" s="188">
        <v>16090</v>
      </c>
      <c r="E8" s="189">
        <v>1525</v>
      </c>
      <c r="F8" s="189">
        <v>1521</v>
      </c>
      <c r="G8" s="189">
        <v>371</v>
      </c>
      <c r="H8" s="189">
        <v>2597</v>
      </c>
      <c r="I8" s="134">
        <f t="shared" si="0"/>
        <v>0.09453076444996893</v>
      </c>
      <c r="J8" s="134">
        <f t="shared" si="1"/>
        <v>0.09477936606587943</v>
      </c>
      <c r="K8" s="190">
        <f t="shared" si="2"/>
        <v>0.16140459912989435</v>
      </c>
      <c r="L8" s="191">
        <v>76687724.29</v>
      </c>
      <c r="M8" s="192">
        <v>196179804.48</v>
      </c>
      <c r="N8" s="192">
        <v>17978051.84</v>
      </c>
      <c r="O8" s="192">
        <v>20771356.68</v>
      </c>
      <c r="P8" s="192">
        <v>19167502.13</v>
      </c>
      <c r="Q8" s="192">
        <v>5242789.72</v>
      </c>
      <c r="R8" s="192">
        <v>36361392.62</v>
      </c>
      <c r="S8" s="193">
        <f t="shared" si="3"/>
        <v>41604182.339999996</v>
      </c>
      <c r="T8" s="134">
        <f t="shared" si="4"/>
        <v>0.07024471624161732</v>
      </c>
      <c r="U8" s="134">
        <f t="shared" si="5"/>
        <v>0.07612249348110663</v>
      </c>
      <c r="V8" s="134">
        <f t="shared" si="6"/>
        <v>0.019213681245375102</v>
      </c>
      <c r="W8" s="194">
        <f t="shared" si="7"/>
        <v>0.15247025737191383</v>
      </c>
    </row>
    <row r="9" spans="1:23" ht="15">
      <c r="A9" s="185">
        <v>210004</v>
      </c>
      <c r="B9" s="186" t="s">
        <v>125</v>
      </c>
      <c r="C9" s="187" t="s">
        <v>231</v>
      </c>
      <c r="D9" s="188">
        <v>39186</v>
      </c>
      <c r="E9" s="189">
        <v>3126</v>
      </c>
      <c r="F9" s="189">
        <v>2548</v>
      </c>
      <c r="G9" s="189">
        <v>1293</v>
      </c>
      <c r="H9" s="189">
        <v>4938</v>
      </c>
      <c r="I9" s="134">
        <f t="shared" si="0"/>
        <v>0.06502322257949268</v>
      </c>
      <c r="J9" s="134">
        <f t="shared" si="1"/>
        <v>0.07977338845506048</v>
      </c>
      <c r="K9" s="190">
        <f t="shared" si="2"/>
        <v>0.12601439289542182</v>
      </c>
      <c r="L9" s="191">
        <v>134892704.96</v>
      </c>
      <c r="M9" s="192">
        <v>337960881.6</v>
      </c>
      <c r="N9" s="192">
        <v>8395880.4</v>
      </c>
      <c r="O9" s="192">
        <v>42618423.58</v>
      </c>
      <c r="P9" s="192">
        <v>23040498.4</v>
      </c>
      <c r="Q9" s="192">
        <v>8573439.45</v>
      </c>
      <c r="R9" s="192">
        <v>61493024.22</v>
      </c>
      <c r="S9" s="193">
        <f t="shared" si="3"/>
        <v>70066463.67</v>
      </c>
      <c r="T9" s="134">
        <f t="shared" si="4"/>
        <v>0.048726496012474266</v>
      </c>
      <c r="U9" s="134">
        <f t="shared" si="5"/>
        <v>0.09013027455295018</v>
      </c>
      <c r="V9" s="134">
        <f t="shared" si="6"/>
        <v>0.018131277193796057</v>
      </c>
      <c r="W9" s="194">
        <f t="shared" si="7"/>
        <v>0.14817792581363728</v>
      </c>
    </row>
    <row r="10" spans="1:23" ht="15">
      <c r="A10" s="185">
        <v>210005</v>
      </c>
      <c r="B10" s="186" t="s">
        <v>126</v>
      </c>
      <c r="C10" s="187" t="s">
        <v>231</v>
      </c>
      <c r="D10" s="188">
        <v>20429</v>
      </c>
      <c r="E10" s="189">
        <v>2109</v>
      </c>
      <c r="F10" s="189">
        <v>2228</v>
      </c>
      <c r="G10" s="189">
        <v>608</v>
      </c>
      <c r="H10" s="189">
        <v>3703</v>
      </c>
      <c r="I10" s="134">
        <f t="shared" si="0"/>
        <v>0.10906064907729209</v>
      </c>
      <c r="J10" s="134">
        <f t="shared" si="1"/>
        <v>0.1032355964560184</v>
      </c>
      <c r="K10" s="190">
        <f t="shared" si="2"/>
        <v>0.1812619315678692</v>
      </c>
      <c r="L10" s="191">
        <v>161203790.29</v>
      </c>
      <c r="M10" s="192">
        <v>186225906.13000003</v>
      </c>
      <c r="N10" s="192">
        <v>13421702.7</v>
      </c>
      <c r="O10" s="192">
        <v>26663530.88</v>
      </c>
      <c r="P10" s="192">
        <v>20673849.18</v>
      </c>
      <c r="Q10" s="192">
        <v>5458834.68</v>
      </c>
      <c r="R10" s="192">
        <v>43411523.78</v>
      </c>
      <c r="S10" s="193">
        <f t="shared" si="3"/>
        <v>48870358.46</v>
      </c>
      <c r="T10" s="134">
        <f t="shared" si="4"/>
        <v>0.05950512979468469</v>
      </c>
      <c r="U10" s="134">
        <f t="shared" si="5"/>
        <v>0.07674511175857303</v>
      </c>
      <c r="V10" s="134">
        <f t="shared" si="6"/>
        <v>0.015712055521589427</v>
      </c>
      <c r="W10" s="194">
        <f t="shared" si="7"/>
        <v>0.14066258285797686</v>
      </c>
    </row>
    <row r="11" spans="1:23" ht="15">
      <c r="A11" s="185">
        <v>210006</v>
      </c>
      <c r="B11" s="186" t="s">
        <v>127</v>
      </c>
      <c r="C11" s="187" t="s">
        <v>231</v>
      </c>
      <c r="D11" s="188">
        <v>6395</v>
      </c>
      <c r="E11" s="189">
        <v>1003</v>
      </c>
      <c r="F11" s="189">
        <v>1035</v>
      </c>
      <c r="G11" s="189">
        <v>98</v>
      </c>
      <c r="H11" s="189">
        <v>1709</v>
      </c>
      <c r="I11" s="134">
        <f t="shared" si="0"/>
        <v>0.16184519155590305</v>
      </c>
      <c r="J11" s="134">
        <f t="shared" si="1"/>
        <v>0.1568412822517592</v>
      </c>
      <c r="K11" s="190">
        <f t="shared" si="2"/>
        <v>0.26724003127443313</v>
      </c>
      <c r="L11" s="191">
        <v>55556228.25</v>
      </c>
      <c r="M11" s="192">
        <v>49348065.04</v>
      </c>
      <c r="N11" s="192">
        <v>12065616.72</v>
      </c>
      <c r="O11" s="192">
        <v>11620170.78</v>
      </c>
      <c r="P11" s="192">
        <v>9059706.94</v>
      </c>
      <c r="Q11" s="192">
        <v>1182985.37</v>
      </c>
      <c r="R11" s="192">
        <v>19093715.91</v>
      </c>
      <c r="S11" s="193">
        <f t="shared" si="3"/>
        <v>20276701.28</v>
      </c>
      <c r="T11" s="134">
        <f t="shared" si="4"/>
        <v>0.08636164122430265</v>
      </c>
      <c r="U11" s="134">
        <f t="shared" si="5"/>
        <v>0.11076925848856267</v>
      </c>
      <c r="V11" s="134">
        <f t="shared" si="6"/>
        <v>0.011276806057209942</v>
      </c>
      <c r="W11" s="194">
        <f t="shared" si="7"/>
        <v>0.1932876209741635</v>
      </c>
    </row>
    <row r="12" spans="1:23" ht="15">
      <c r="A12" s="185">
        <v>210008</v>
      </c>
      <c r="B12" s="186" t="s">
        <v>128</v>
      </c>
      <c r="C12" s="187" t="s">
        <v>231</v>
      </c>
      <c r="D12" s="188">
        <v>18250</v>
      </c>
      <c r="E12" s="189">
        <v>1878</v>
      </c>
      <c r="F12" s="189">
        <v>1238</v>
      </c>
      <c r="G12" s="189">
        <v>557</v>
      </c>
      <c r="H12" s="189">
        <v>2703</v>
      </c>
      <c r="I12" s="134">
        <f t="shared" si="0"/>
        <v>0.06783561643835616</v>
      </c>
      <c r="J12" s="134">
        <f t="shared" si="1"/>
        <v>0.1029041095890411</v>
      </c>
      <c r="K12" s="190">
        <f t="shared" si="2"/>
        <v>0.1481095890410959</v>
      </c>
      <c r="L12" s="191">
        <v>270727618.64</v>
      </c>
      <c r="M12" s="192">
        <v>219968058.58999997</v>
      </c>
      <c r="N12" s="192">
        <v>8761236.89</v>
      </c>
      <c r="O12" s="192">
        <v>26635760.52</v>
      </c>
      <c r="P12" s="192">
        <v>12210464.06</v>
      </c>
      <c r="Q12" s="192">
        <v>6357023.86</v>
      </c>
      <c r="R12" s="192">
        <v>36159824.87</v>
      </c>
      <c r="S12" s="193">
        <f t="shared" si="3"/>
        <v>42516848.73</v>
      </c>
      <c r="T12" s="134">
        <f t="shared" si="4"/>
        <v>0.024883985383626447</v>
      </c>
      <c r="U12" s="134">
        <f t="shared" si="5"/>
        <v>0.0542816286264434</v>
      </c>
      <c r="V12" s="134">
        <f t="shared" si="6"/>
        <v>0.012955125049981482</v>
      </c>
      <c r="W12" s="194">
        <f t="shared" si="7"/>
        <v>0.08664606334013292</v>
      </c>
    </row>
    <row r="13" spans="1:23" ht="15">
      <c r="A13" s="185">
        <v>210009</v>
      </c>
      <c r="B13" s="186" t="s">
        <v>129</v>
      </c>
      <c r="C13" s="187" t="s">
        <v>231</v>
      </c>
      <c r="D13" s="188">
        <v>50435</v>
      </c>
      <c r="E13" s="189">
        <v>8089</v>
      </c>
      <c r="F13" s="189">
        <v>2793</v>
      </c>
      <c r="G13" s="189">
        <v>2039</v>
      </c>
      <c r="H13" s="189">
        <v>8694</v>
      </c>
      <c r="I13" s="134">
        <f t="shared" si="0"/>
        <v>0.05537820957668286</v>
      </c>
      <c r="J13" s="134">
        <f t="shared" si="1"/>
        <v>0.16038465351442452</v>
      </c>
      <c r="K13" s="190">
        <f t="shared" si="2"/>
        <v>0.17238029146426093</v>
      </c>
      <c r="L13" s="191">
        <v>814711306.72</v>
      </c>
      <c r="M13" s="192">
        <v>1331550409.4099998</v>
      </c>
      <c r="N13" s="192">
        <v>964547.7</v>
      </c>
      <c r="O13" s="192">
        <v>171580974.83</v>
      </c>
      <c r="P13" s="192">
        <v>48824522.82</v>
      </c>
      <c r="Q13" s="192">
        <v>31762305.1</v>
      </c>
      <c r="R13" s="192">
        <v>184651710.77</v>
      </c>
      <c r="S13" s="193">
        <f t="shared" si="3"/>
        <v>216414015.87</v>
      </c>
      <c r="T13" s="134">
        <f t="shared" si="4"/>
        <v>0.022748634266298716</v>
      </c>
      <c r="U13" s="134">
        <f t="shared" si="5"/>
        <v>0.07994410632240308</v>
      </c>
      <c r="V13" s="134">
        <f t="shared" si="6"/>
        <v>0.014798896547095725</v>
      </c>
      <c r="W13" s="194">
        <f t="shared" si="7"/>
        <v>0.1008330038427111</v>
      </c>
    </row>
    <row r="14" spans="1:23" ht="15">
      <c r="A14" s="185">
        <v>210010</v>
      </c>
      <c r="B14" s="186" t="s">
        <v>181</v>
      </c>
      <c r="C14" s="187" t="s">
        <v>122</v>
      </c>
      <c r="D14" s="188">
        <v>2817</v>
      </c>
      <c r="E14" s="189">
        <v>417</v>
      </c>
      <c r="F14" s="189">
        <v>646</v>
      </c>
      <c r="G14" s="189">
        <v>38</v>
      </c>
      <c r="H14" s="189">
        <v>858</v>
      </c>
      <c r="I14" s="134">
        <f t="shared" si="0"/>
        <v>0.22932197373091942</v>
      </c>
      <c r="J14" s="134">
        <f t="shared" si="1"/>
        <v>0.14802981895633652</v>
      </c>
      <c r="K14" s="190">
        <f t="shared" si="2"/>
        <v>0.3045793397231097</v>
      </c>
      <c r="L14" s="191">
        <v>27374872.18</v>
      </c>
      <c r="M14" s="192">
        <v>33693034.13</v>
      </c>
      <c r="N14" s="192">
        <v>2527768.12</v>
      </c>
      <c r="O14" s="192">
        <v>6419387.42</v>
      </c>
      <c r="P14" s="192">
        <v>7967972.11</v>
      </c>
      <c r="Q14" s="192">
        <v>660672.35</v>
      </c>
      <c r="R14" s="192">
        <v>12787252.86</v>
      </c>
      <c r="S14" s="193">
        <f t="shared" si="3"/>
        <v>13447925.209999999</v>
      </c>
      <c r="T14" s="134">
        <f t="shared" si="4"/>
        <v>0.13047724396431826</v>
      </c>
      <c r="U14" s="134">
        <f t="shared" si="5"/>
        <v>0.10511883913971375</v>
      </c>
      <c r="V14" s="134">
        <f t="shared" si="6"/>
        <v>0.01081865074342353</v>
      </c>
      <c r="W14" s="194">
        <f t="shared" si="7"/>
        <v>0.2202126456036347</v>
      </c>
    </row>
    <row r="15" spans="1:23" ht="15">
      <c r="A15" s="185">
        <v>210011</v>
      </c>
      <c r="B15" s="186" t="s">
        <v>130</v>
      </c>
      <c r="C15" s="187" t="s">
        <v>231</v>
      </c>
      <c r="D15" s="188">
        <v>22533</v>
      </c>
      <c r="E15" s="189">
        <v>3000</v>
      </c>
      <c r="F15" s="189">
        <v>3216</v>
      </c>
      <c r="G15" s="189">
        <v>589</v>
      </c>
      <c r="H15" s="189">
        <v>5153</v>
      </c>
      <c r="I15" s="134">
        <f t="shared" si="0"/>
        <v>0.14272400479297032</v>
      </c>
      <c r="J15" s="134">
        <f t="shared" si="1"/>
        <v>0.13313806417254692</v>
      </c>
      <c r="K15" s="190">
        <f t="shared" si="2"/>
        <v>0.22868681489371145</v>
      </c>
      <c r="L15" s="191">
        <v>178323425.33</v>
      </c>
      <c r="M15" s="192">
        <v>233767383.16</v>
      </c>
      <c r="N15" s="192">
        <v>24451195.69</v>
      </c>
      <c r="O15" s="192">
        <v>42139477.06</v>
      </c>
      <c r="P15" s="192">
        <v>29651731.37</v>
      </c>
      <c r="Q15" s="192">
        <v>6287846.42</v>
      </c>
      <c r="R15" s="192">
        <v>65266677.23</v>
      </c>
      <c r="S15" s="193">
        <f t="shared" si="3"/>
        <v>71554523.64999999</v>
      </c>
      <c r="T15" s="134">
        <f t="shared" si="4"/>
        <v>0.07195436238592917</v>
      </c>
      <c r="U15" s="134">
        <f t="shared" si="5"/>
        <v>0.1022577456032305</v>
      </c>
      <c r="V15" s="134">
        <f t="shared" si="6"/>
        <v>0.015258400067306</v>
      </c>
      <c r="W15" s="194">
        <f t="shared" si="7"/>
        <v>0.17363775695991135</v>
      </c>
    </row>
    <row r="16" spans="1:23" ht="15">
      <c r="A16" s="185">
        <v>210012</v>
      </c>
      <c r="B16" s="186" t="s">
        <v>131</v>
      </c>
      <c r="C16" s="187" t="s">
        <v>231</v>
      </c>
      <c r="D16" s="188">
        <v>26729</v>
      </c>
      <c r="E16" s="189">
        <v>3393</v>
      </c>
      <c r="F16" s="189">
        <v>2289</v>
      </c>
      <c r="G16" s="189">
        <v>991</v>
      </c>
      <c r="H16" s="189">
        <v>4750</v>
      </c>
      <c r="I16" s="134">
        <f t="shared" si="0"/>
        <v>0.08563732275805305</v>
      </c>
      <c r="J16" s="134">
        <f t="shared" si="1"/>
        <v>0.12694077593624903</v>
      </c>
      <c r="K16" s="190">
        <f t="shared" si="2"/>
        <v>0.1777096038011149</v>
      </c>
      <c r="L16" s="191">
        <v>278743452.92</v>
      </c>
      <c r="M16" s="192">
        <v>426766598.28000003</v>
      </c>
      <c r="N16" s="192">
        <v>7269100.53</v>
      </c>
      <c r="O16" s="192">
        <v>54748531.48</v>
      </c>
      <c r="P16" s="192">
        <v>25602391.89</v>
      </c>
      <c r="Q16" s="192">
        <v>10902320.18</v>
      </c>
      <c r="R16" s="192">
        <v>72573769.46</v>
      </c>
      <c r="S16" s="193">
        <f t="shared" si="3"/>
        <v>83476089.63999999</v>
      </c>
      <c r="T16" s="134">
        <f t="shared" si="4"/>
        <v>0.036289195095736713</v>
      </c>
      <c r="U16" s="134">
        <f t="shared" si="5"/>
        <v>0.07760134867941056</v>
      </c>
      <c r="V16" s="134">
        <f t="shared" si="6"/>
        <v>0.015453103979817544</v>
      </c>
      <c r="W16" s="194">
        <f t="shared" si="7"/>
        <v>0.11832019897946988</v>
      </c>
    </row>
    <row r="17" spans="1:23" ht="15">
      <c r="A17" s="185">
        <v>210013</v>
      </c>
      <c r="B17" s="186" t="s">
        <v>132</v>
      </c>
      <c r="C17" s="187" t="s">
        <v>231</v>
      </c>
      <c r="D17" s="188">
        <v>5746</v>
      </c>
      <c r="E17" s="189">
        <v>1496</v>
      </c>
      <c r="F17" s="189">
        <v>809</v>
      </c>
      <c r="G17" s="189">
        <v>64</v>
      </c>
      <c r="H17" s="189">
        <v>1959</v>
      </c>
      <c r="I17" s="134">
        <f t="shared" si="0"/>
        <v>0.14079359554472676</v>
      </c>
      <c r="J17" s="134">
        <f t="shared" si="1"/>
        <v>0.2603550295857988</v>
      </c>
      <c r="K17" s="190">
        <f t="shared" si="2"/>
        <v>0.3409328228332753</v>
      </c>
      <c r="L17" s="191">
        <v>58507843.1</v>
      </c>
      <c r="M17" s="192">
        <v>69681018.97</v>
      </c>
      <c r="N17" s="192">
        <v>15442702.47</v>
      </c>
      <c r="O17" s="192">
        <v>22855286.37</v>
      </c>
      <c r="P17" s="192">
        <v>11436989.23</v>
      </c>
      <c r="Q17" s="192">
        <v>1251590.97</v>
      </c>
      <c r="R17" s="192">
        <v>30939191.68</v>
      </c>
      <c r="S17" s="193">
        <f t="shared" si="3"/>
        <v>32190782.65</v>
      </c>
      <c r="T17" s="134">
        <f t="shared" si="4"/>
        <v>0.08921983583686555</v>
      </c>
      <c r="U17" s="134">
        <f t="shared" si="5"/>
        <v>0.17829385487109975</v>
      </c>
      <c r="V17" s="134">
        <f t="shared" si="6"/>
        <v>0.00976364833722094</v>
      </c>
      <c r="W17" s="194">
        <f t="shared" si="7"/>
        <v>0.2511199657301085</v>
      </c>
    </row>
    <row r="18" spans="1:23" ht="15">
      <c r="A18" s="185">
        <v>210015</v>
      </c>
      <c r="B18" s="186" t="s">
        <v>133</v>
      </c>
      <c r="C18" s="187" t="s">
        <v>231</v>
      </c>
      <c r="D18" s="188">
        <v>31039</v>
      </c>
      <c r="E18" s="189">
        <v>4404</v>
      </c>
      <c r="F18" s="189">
        <v>3634</v>
      </c>
      <c r="G18" s="189">
        <v>852</v>
      </c>
      <c r="H18" s="189">
        <v>6836</v>
      </c>
      <c r="I18" s="134">
        <f t="shared" si="0"/>
        <v>0.11707851412738812</v>
      </c>
      <c r="J18" s="134">
        <f t="shared" si="1"/>
        <v>0.14188601436901963</v>
      </c>
      <c r="K18" s="190">
        <f t="shared" si="2"/>
        <v>0.22023905409323755</v>
      </c>
      <c r="L18" s="191">
        <v>189705532.76</v>
      </c>
      <c r="M18" s="192">
        <v>291991403.33</v>
      </c>
      <c r="N18" s="192">
        <v>29346727.82</v>
      </c>
      <c r="O18" s="192">
        <v>53141810.73</v>
      </c>
      <c r="P18" s="192">
        <v>34115112.48</v>
      </c>
      <c r="Q18" s="192">
        <v>8975358.74</v>
      </c>
      <c r="R18" s="192">
        <v>79740510.93</v>
      </c>
      <c r="S18" s="193">
        <f t="shared" si="3"/>
        <v>88715869.67</v>
      </c>
      <c r="T18" s="134">
        <f t="shared" si="4"/>
        <v>0.07082277241976467</v>
      </c>
      <c r="U18" s="134">
        <f t="shared" si="5"/>
        <v>0.11032208583546194</v>
      </c>
      <c r="V18" s="134">
        <f t="shared" si="6"/>
        <v>0.018632791839728557</v>
      </c>
      <c r="W18" s="194">
        <f t="shared" si="7"/>
        <v>0.18417362250654712</v>
      </c>
    </row>
    <row r="19" spans="1:23" ht="15">
      <c r="A19" s="185">
        <v>210016</v>
      </c>
      <c r="B19" s="186" t="s">
        <v>134</v>
      </c>
      <c r="C19" s="187" t="s">
        <v>231</v>
      </c>
      <c r="D19" s="188">
        <v>14096</v>
      </c>
      <c r="E19" s="189">
        <v>1602</v>
      </c>
      <c r="F19" s="189">
        <v>1416</v>
      </c>
      <c r="G19" s="189">
        <v>571</v>
      </c>
      <c r="H19" s="189">
        <v>2603</v>
      </c>
      <c r="I19" s="134">
        <f t="shared" si="0"/>
        <v>0.10045402951191827</v>
      </c>
      <c r="J19" s="134">
        <f t="shared" si="1"/>
        <v>0.11364926220204313</v>
      </c>
      <c r="K19" s="190">
        <f t="shared" si="2"/>
        <v>0.18466231555051077</v>
      </c>
      <c r="L19" s="191">
        <v>95258251.49</v>
      </c>
      <c r="M19" s="192">
        <v>164795445.94</v>
      </c>
      <c r="N19" s="192">
        <v>6696767.9</v>
      </c>
      <c r="O19" s="192">
        <v>22040930.21</v>
      </c>
      <c r="P19" s="192">
        <v>17360605.82</v>
      </c>
      <c r="Q19" s="192">
        <v>6673936.42</v>
      </c>
      <c r="R19" s="192">
        <v>36167032.85</v>
      </c>
      <c r="S19" s="193">
        <f t="shared" si="3"/>
        <v>42840969.27</v>
      </c>
      <c r="T19" s="134">
        <f t="shared" si="4"/>
        <v>0.06675777345820297</v>
      </c>
      <c r="U19" s="134">
        <f t="shared" si="5"/>
        <v>0.08475530410765597</v>
      </c>
      <c r="V19" s="134">
        <f t="shared" si="6"/>
        <v>0.025663685946232154</v>
      </c>
      <c r="W19" s="194">
        <f t="shared" si="7"/>
        <v>0.16473893543287046</v>
      </c>
    </row>
    <row r="20" spans="1:23" ht="15">
      <c r="A20" s="185">
        <v>210017</v>
      </c>
      <c r="B20" s="186" t="s">
        <v>135</v>
      </c>
      <c r="C20" s="187" t="s">
        <v>122</v>
      </c>
      <c r="D20" s="188">
        <v>2397</v>
      </c>
      <c r="E20" s="189">
        <v>144</v>
      </c>
      <c r="F20" s="189">
        <v>325</v>
      </c>
      <c r="G20" s="189">
        <v>56</v>
      </c>
      <c r="H20" s="189">
        <v>422</v>
      </c>
      <c r="I20" s="134">
        <f t="shared" si="0"/>
        <v>0.13558614935335836</v>
      </c>
      <c r="J20" s="134">
        <f t="shared" si="1"/>
        <v>0.060075093867334166</v>
      </c>
      <c r="K20" s="190">
        <f t="shared" si="2"/>
        <v>0.17605340008343762</v>
      </c>
      <c r="L20" s="191">
        <v>27128009.08</v>
      </c>
      <c r="M20" s="192">
        <v>20985037.54</v>
      </c>
      <c r="N20" s="192">
        <v>983508.28</v>
      </c>
      <c r="O20" s="192">
        <v>1645797.65</v>
      </c>
      <c r="P20" s="192">
        <v>3119744.85</v>
      </c>
      <c r="Q20" s="192">
        <v>486107.63</v>
      </c>
      <c r="R20" s="192">
        <v>4555365.51</v>
      </c>
      <c r="S20" s="193">
        <f t="shared" si="3"/>
        <v>5041473.14</v>
      </c>
      <c r="T20" s="134">
        <f t="shared" si="4"/>
        <v>0.06484197258676945</v>
      </c>
      <c r="U20" s="134">
        <f t="shared" si="5"/>
        <v>0.03420688910013572</v>
      </c>
      <c r="V20" s="134">
        <f t="shared" si="6"/>
        <v>0.010103447279888758</v>
      </c>
      <c r="W20" s="194">
        <f t="shared" si="7"/>
        <v>0.10478390985750467</v>
      </c>
    </row>
    <row r="21" spans="1:23" ht="15">
      <c r="A21" s="185">
        <v>210018</v>
      </c>
      <c r="B21" s="186" t="s">
        <v>136</v>
      </c>
      <c r="C21" s="187" t="s">
        <v>231</v>
      </c>
      <c r="D21" s="188">
        <v>10073</v>
      </c>
      <c r="E21" s="189">
        <v>1269</v>
      </c>
      <c r="F21" s="189">
        <v>1218</v>
      </c>
      <c r="G21" s="189">
        <v>297</v>
      </c>
      <c r="H21" s="189">
        <v>2119</v>
      </c>
      <c r="I21" s="134">
        <f t="shared" si="0"/>
        <v>0.12091730368311328</v>
      </c>
      <c r="J21" s="134">
        <f t="shared" si="1"/>
        <v>0.12598034349250473</v>
      </c>
      <c r="K21" s="190">
        <f t="shared" si="2"/>
        <v>0.21036434031569543</v>
      </c>
      <c r="L21" s="191">
        <v>82719088.86</v>
      </c>
      <c r="M21" s="192">
        <v>88270049.6</v>
      </c>
      <c r="N21" s="192">
        <v>6143388.48</v>
      </c>
      <c r="O21" s="192">
        <v>13920104.27</v>
      </c>
      <c r="P21" s="192">
        <v>10445057.6</v>
      </c>
      <c r="Q21" s="192">
        <v>2757008.93</v>
      </c>
      <c r="R21" s="192">
        <v>22386492.05</v>
      </c>
      <c r="S21" s="193">
        <f t="shared" si="3"/>
        <v>25143500.98</v>
      </c>
      <c r="T21" s="134">
        <f t="shared" si="4"/>
        <v>0.061086088239712635</v>
      </c>
      <c r="U21" s="134">
        <f t="shared" si="5"/>
        <v>0.08140928947516964</v>
      </c>
      <c r="V21" s="134">
        <f t="shared" si="6"/>
        <v>0.016123883393008357</v>
      </c>
      <c r="W21" s="194">
        <f t="shared" si="7"/>
        <v>0.14704735754828016</v>
      </c>
    </row>
    <row r="22" spans="1:23" ht="15">
      <c r="A22" s="185">
        <v>210019</v>
      </c>
      <c r="B22" s="186" t="s">
        <v>182</v>
      </c>
      <c r="C22" s="187" t="s">
        <v>231</v>
      </c>
      <c r="D22" s="188">
        <v>21022</v>
      </c>
      <c r="E22" s="189">
        <v>2310</v>
      </c>
      <c r="F22" s="189">
        <v>2493</v>
      </c>
      <c r="G22" s="189">
        <v>792</v>
      </c>
      <c r="H22" s="189">
        <v>4045</v>
      </c>
      <c r="I22" s="134">
        <f t="shared" si="0"/>
        <v>0.11859004852059747</v>
      </c>
      <c r="J22" s="134">
        <f t="shared" si="1"/>
        <v>0.10988488250404338</v>
      </c>
      <c r="K22" s="190">
        <f t="shared" si="2"/>
        <v>0.19241746741508894</v>
      </c>
      <c r="L22" s="191">
        <v>178103277.86</v>
      </c>
      <c r="M22" s="192">
        <v>245185150.64999998</v>
      </c>
      <c r="N22" s="192">
        <v>8564832.55</v>
      </c>
      <c r="O22" s="192">
        <v>33045873.02</v>
      </c>
      <c r="P22" s="192">
        <v>24679909.03</v>
      </c>
      <c r="Q22" s="192">
        <v>7931597.36</v>
      </c>
      <c r="R22" s="192">
        <v>52731732.52</v>
      </c>
      <c r="S22" s="193">
        <f t="shared" si="3"/>
        <v>60663329.88</v>
      </c>
      <c r="T22" s="134">
        <f t="shared" si="4"/>
        <v>0.0583051823950745</v>
      </c>
      <c r="U22" s="134">
        <f t="shared" si="5"/>
        <v>0.07806939853358005</v>
      </c>
      <c r="V22" s="134">
        <f t="shared" si="6"/>
        <v>0.018738044382454976</v>
      </c>
      <c r="W22" s="194">
        <f t="shared" si="7"/>
        <v>0.14331440642858692</v>
      </c>
    </row>
    <row r="23" spans="1:23" ht="15">
      <c r="A23" s="185">
        <v>210022</v>
      </c>
      <c r="B23" s="186" t="s">
        <v>137</v>
      </c>
      <c r="C23" s="187" t="s">
        <v>231</v>
      </c>
      <c r="D23" s="188">
        <v>14973</v>
      </c>
      <c r="E23" s="189">
        <v>1788</v>
      </c>
      <c r="F23" s="189">
        <v>1381</v>
      </c>
      <c r="G23" s="189">
        <v>755</v>
      </c>
      <c r="H23" s="189">
        <v>2819</v>
      </c>
      <c r="I23" s="134">
        <f t="shared" si="0"/>
        <v>0.0922326855005677</v>
      </c>
      <c r="J23" s="134">
        <f t="shared" si="1"/>
        <v>0.11941494690442797</v>
      </c>
      <c r="K23" s="190">
        <f t="shared" si="2"/>
        <v>0.18827222333533694</v>
      </c>
      <c r="L23" s="191">
        <v>101159011.19</v>
      </c>
      <c r="M23" s="192">
        <v>188893463.76999998</v>
      </c>
      <c r="N23" s="192">
        <v>7952323.36</v>
      </c>
      <c r="O23" s="192">
        <v>24439652.84</v>
      </c>
      <c r="P23" s="192">
        <v>11707539.3</v>
      </c>
      <c r="Q23" s="192">
        <v>6975675.22</v>
      </c>
      <c r="R23" s="192">
        <v>34062218.35</v>
      </c>
      <c r="S23" s="193">
        <f t="shared" si="3"/>
        <v>41037893.57</v>
      </c>
      <c r="T23" s="134">
        <f t="shared" si="4"/>
        <v>0.04036352146836376</v>
      </c>
      <c r="U23" s="134">
        <f t="shared" si="5"/>
        <v>0.08425941838065812</v>
      </c>
      <c r="V23" s="134">
        <f t="shared" si="6"/>
        <v>0.02404970073419297</v>
      </c>
      <c r="W23" s="194">
        <f t="shared" si="7"/>
        <v>0.14148437649311346</v>
      </c>
    </row>
    <row r="24" spans="1:23" ht="15">
      <c r="A24" s="185">
        <v>210023</v>
      </c>
      <c r="B24" s="186" t="s">
        <v>138</v>
      </c>
      <c r="C24" s="187" t="s">
        <v>231</v>
      </c>
      <c r="D24" s="188">
        <v>32618</v>
      </c>
      <c r="E24" s="189">
        <v>2566</v>
      </c>
      <c r="F24" s="189">
        <v>2666</v>
      </c>
      <c r="G24" s="189">
        <v>1128</v>
      </c>
      <c r="H24" s="189">
        <v>4501</v>
      </c>
      <c r="I24" s="134">
        <f t="shared" si="0"/>
        <v>0.08173401189527255</v>
      </c>
      <c r="J24" s="134">
        <f t="shared" si="1"/>
        <v>0.07866822000122632</v>
      </c>
      <c r="K24" s="190">
        <f t="shared" si="2"/>
        <v>0.1379912931510209</v>
      </c>
      <c r="L24" s="191">
        <v>255937240.64</v>
      </c>
      <c r="M24" s="192">
        <v>302551615.39</v>
      </c>
      <c r="N24" s="192">
        <v>7039968.12</v>
      </c>
      <c r="O24" s="192">
        <v>32328191.03</v>
      </c>
      <c r="P24" s="192">
        <v>23874115.21</v>
      </c>
      <c r="Q24" s="192">
        <v>9316285.86</v>
      </c>
      <c r="R24" s="192">
        <v>52287474.19</v>
      </c>
      <c r="S24" s="193">
        <f t="shared" si="3"/>
        <v>61603760.05</v>
      </c>
      <c r="T24" s="134">
        <f t="shared" si="4"/>
        <v>0.04274770203958657</v>
      </c>
      <c r="U24" s="134">
        <f t="shared" si="5"/>
        <v>0.057885113876405526</v>
      </c>
      <c r="V24" s="134">
        <f t="shared" si="6"/>
        <v>0.01668123859484774</v>
      </c>
      <c r="W24" s="194">
        <f t="shared" si="7"/>
        <v>0.11030436755338027</v>
      </c>
    </row>
    <row r="25" spans="1:23" ht="15">
      <c r="A25" s="185">
        <v>210024</v>
      </c>
      <c r="B25" s="186" t="s">
        <v>139</v>
      </c>
      <c r="C25" s="187" t="s">
        <v>231</v>
      </c>
      <c r="D25" s="188">
        <v>14670</v>
      </c>
      <c r="E25" s="189">
        <v>2383</v>
      </c>
      <c r="F25" s="189">
        <v>1824</v>
      </c>
      <c r="G25" s="189">
        <v>720</v>
      </c>
      <c r="H25" s="189">
        <v>3629</v>
      </c>
      <c r="I25" s="134">
        <f t="shared" si="0"/>
        <v>0.12433537832310838</v>
      </c>
      <c r="J25" s="134">
        <f t="shared" si="1"/>
        <v>0.16244035446489435</v>
      </c>
      <c r="K25" s="190">
        <f t="shared" si="2"/>
        <v>0.24737559645535107</v>
      </c>
      <c r="L25" s="191">
        <v>174434713.89</v>
      </c>
      <c r="M25" s="192">
        <v>243499355.55</v>
      </c>
      <c r="N25" s="192">
        <v>9732077.47</v>
      </c>
      <c r="O25" s="192">
        <v>35385454.7</v>
      </c>
      <c r="P25" s="192">
        <v>20276953.55</v>
      </c>
      <c r="Q25" s="192">
        <v>9621085.53</v>
      </c>
      <c r="R25" s="192">
        <v>51533064.85</v>
      </c>
      <c r="S25" s="193">
        <f t="shared" si="3"/>
        <v>61154150.38</v>
      </c>
      <c r="T25" s="134">
        <f t="shared" si="4"/>
        <v>0.048517110790153056</v>
      </c>
      <c r="U25" s="134">
        <f t="shared" si="5"/>
        <v>0.08466755234243964</v>
      </c>
      <c r="V25" s="134">
        <f t="shared" si="6"/>
        <v>0.02302058203316979</v>
      </c>
      <c r="W25" s="194">
        <f t="shared" si="7"/>
        <v>0.14632487478692974</v>
      </c>
    </row>
    <row r="26" spans="1:23" ht="15">
      <c r="A26" s="185">
        <v>210027</v>
      </c>
      <c r="B26" s="186" t="s">
        <v>140</v>
      </c>
      <c r="C26" s="187" t="s">
        <v>122</v>
      </c>
      <c r="D26" s="188">
        <v>13389</v>
      </c>
      <c r="E26" s="189">
        <v>1604</v>
      </c>
      <c r="F26" s="189">
        <v>1567</v>
      </c>
      <c r="G26" s="189">
        <v>430</v>
      </c>
      <c r="H26" s="189">
        <v>2722</v>
      </c>
      <c r="I26" s="134">
        <f t="shared" si="0"/>
        <v>0.1170363731421316</v>
      </c>
      <c r="J26" s="134">
        <f t="shared" si="1"/>
        <v>0.11979983568601091</v>
      </c>
      <c r="K26" s="190">
        <f t="shared" si="2"/>
        <v>0.20330121741728285</v>
      </c>
      <c r="L26" s="191">
        <v>149067845.86</v>
      </c>
      <c r="M26" s="192">
        <v>172471503.76</v>
      </c>
      <c r="N26" s="192">
        <v>3212948.47</v>
      </c>
      <c r="O26" s="192">
        <v>22066408.93</v>
      </c>
      <c r="P26" s="192">
        <v>17028494.46</v>
      </c>
      <c r="Q26" s="192">
        <v>5144335.07</v>
      </c>
      <c r="R26" s="192">
        <v>36014868.71</v>
      </c>
      <c r="S26" s="193">
        <f t="shared" si="3"/>
        <v>41159203.78</v>
      </c>
      <c r="T26" s="134">
        <f t="shared" si="4"/>
        <v>0.0529592862588188</v>
      </c>
      <c r="U26" s="134">
        <f t="shared" si="5"/>
        <v>0.06862739803410814</v>
      </c>
      <c r="V26" s="134">
        <f t="shared" si="6"/>
        <v>0.015999084019046664</v>
      </c>
      <c r="W26" s="194">
        <f t="shared" si="7"/>
        <v>0.12800673954414152</v>
      </c>
    </row>
    <row r="27" spans="1:23" ht="15">
      <c r="A27" s="185">
        <v>210028</v>
      </c>
      <c r="B27" s="186" t="s">
        <v>141</v>
      </c>
      <c r="C27" s="187" t="s">
        <v>231</v>
      </c>
      <c r="D27" s="188">
        <v>9630</v>
      </c>
      <c r="E27" s="189">
        <v>997</v>
      </c>
      <c r="F27" s="189">
        <v>1242</v>
      </c>
      <c r="G27" s="189">
        <v>165</v>
      </c>
      <c r="H27" s="189">
        <v>1864</v>
      </c>
      <c r="I27" s="134">
        <f t="shared" si="0"/>
        <v>0.12897196261682242</v>
      </c>
      <c r="J27" s="134">
        <f t="shared" si="1"/>
        <v>0.10353063343717549</v>
      </c>
      <c r="K27" s="190">
        <f t="shared" si="2"/>
        <v>0.19356178608515057</v>
      </c>
      <c r="L27" s="191">
        <v>93860818.7</v>
      </c>
      <c r="M27" s="192">
        <v>66353966.56</v>
      </c>
      <c r="N27" s="192">
        <v>8088742.66</v>
      </c>
      <c r="O27" s="192">
        <v>10077004.74</v>
      </c>
      <c r="P27" s="192">
        <v>11332554.11</v>
      </c>
      <c r="Q27" s="192">
        <v>956088.07</v>
      </c>
      <c r="R27" s="192">
        <v>19468820.9</v>
      </c>
      <c r="S27" s="193">
        <f t="shared" si="3"/>
        <v>20424908.97</v>
      </c>
      <c r="T27" s="134">
        <f t="shared" si="4"/>
        <v>0.07073350996669432</v>
      </c>
      <c r="U27" s="134">
        <f t="shared" si="5"/>
        <v>0.06289684640307586</v>
      </c>
      <c r="V27" s="134">
        <f t="shared" si="6"/>
        <v>0.005967539565393042</v>
      </c>
      <c r="W27" s="194">
        <f t="shared" si="7"/>
        <v>0.12748454480561217</v>
      </c>
    </row>
    <row r="28" spans="1:23" ht="15">
      <c r="A28" s="185">
        <v>210029</v>
      </c>
      <c r="B28" s="186" t="s">
        <v>142</v>
      </c>
      <c r="C28" s="187" t="s">
        <v>231</v>
      </c>
      <c r="D28" s="188">
        <v>22312</v>
      </c>
      <c r="E28" s="189">
        <v>3537</v>
      </c>
      <c r="F28" s="189">
        <v>2674</v>
      </c>
      <c r="G28" s="189">
        <v>544</v>
      </c>
      <c r="H28" s="189">
        <v>5183</v>
      </c>
      <c r="I28" s="134">
        <f t="shared" si="0"/>
        <v>0.11984582287558265</v>
      </c>
      <c r="J28" s="134">
        <f t="shared" si="1"/>
        <v>0.15852456077447113</v>
      </c>
      <c r="K28" s="190">
        <f t="shared" si="2"/>
        <v>0.2322965220509143</v>
      </c>
      <c r="L28" s="191">
        <v>249141132.91</v>
      </c>
      <c r="M28" s="192">
        <v>317815467.27</v>
      </c>
      <c r="N28" s="192">
        <v>11952073.35</v>
      </c>
      <c r="O28" s="192">
        <v>50597140.15</v>
      </c>
      <c r="P28" s="192">
        <v>32528782.41</v>
      </c>
      <c r="Q28" s="192">
        <v>6981329.53</v>
      </c>
      <c r="R28" s="192">
        <v>74471313.03</v>
      </c>
      <c r="S28" s="193">
        <f t="shared" si="3"/>
        <v>81452642.56</v>
      </c>
      <c r="T28" s="134">
        <f t="shared" si="4"/>
        <v>0.057374378214615745</v>
      </c>
      <c r="U28" s="134">
        <f t="shared" si="5"/>
        <v>0.08924340969650267</v>
      </c>
      <c r="V28" s="134">
        <f t="shared" si="6"/>
        <v>0.0123136930195072</v>
      </c>
      <c r="W28" s="194">
        <f t="shared" si="7"/>
        <v>0.1436664508961357</v>
      </c>
    </row>
    <row r="29" spans="1:23" ht="15">
      <c r="A29" s="185">
        <v>210030</v>
      </c>
      <c r="B29" s="186" t="s">
        <v>183</v>
      </c>
      <c r="C29" s="187" t="s">
        <v>122</v>
      </c>
      <c r="D29" s="188">
        <v>2115</v>
      </c>
      <c r="E29" s="189">
        <v>315</v>
      </c>
      <c r="F29" s="189">
        <v>463</v>
      </c>
      <c r="G29" s="189">
        <v>41</v>
      </c>
      <c r="H29" s="189">
        <v>651</v>
      </c>
      <c r="I29" s="134">
        <f t="shared" si="0"/>
        <v>0.21891252955082743</v>
      </c>
      <c r="J29" s="134">
        <f t="shared" si="1"/>
        <v>0.14893617021276595</v>
      </c>
      <c r="K29" s="190">
        <f t="shared" si="2"/>
        <v>0.3078014184397163</v>
      </c>
      <c r="L29" s="191">
        <v>35465444.68</v>
      </c>
      <c r="M29" s="192">
        <v>28251515.01</v>
      </c>
      <c r="N29" s="192">
        <v>1584031.7</v>
      </c>
      <c r="O29" s="192">
        <v>4930995.7</v>
      </c>
      <c r="P29" s="192">
        <v>5999358.29</v>
      </c>
      <c r="Q29" s="192">
        <v>638197.1</v>
      </c>
      <c r="R29" s="192">
        <v>10069034.54</v>
      </c>
      <c r="S29" s="193">
        <f t="shared" si="3"/>
        <v>10707231.639999999</v>
      </c>
      <c r="T29" s="134">
        <f t="shared" si="4"/>
        <v>0.09415638032932641</v>
      </c>
      <c r="U29" s="134">
        <f t="shared" si="5"/>
        <v>0.07738906131100118</v>
      </c>
      <c r="V29" s="134">
        <f t="shared" si="6"/>
        <v>0.010016126053487158</v>
      </c>
      <c r="W29" s="194">
        <f t="shared" si="7"/>
        <v>0.16804366831207165</v>
      </c>
    </row>
    <row r="30" spans="1:23" ht="15">
      <c r="A30" s="185">
        <v>210032</v>
      </c>
      <c r="B30" s="186" t="s">
        <v>143</v>
      </c>
      <c r="C30" s="187" t="s">
        <v>122</v>
      </c>
      <c r="D30" s="188">
        <v>6428</v>
      </c>
      <c r="E30" s="189">
        <v>666</v>
      </c>
      <c r="F30" s="189">
        <v>922</v>
      </c>
      <c r="G30" s="189">
        <v>161</v>
      </c>
      <c r="H30" s="189">
        <v>1356</v>
      </c>
      <c r="I30" s="134">
        <f t="shared" si="0"/>
        <v>0.1434349719975109</v>
      </c>
      <c r="J30" s="134">
        <f t="shared" si="1"/>
        <v>0.10360920970752956</v>
      </c>
      <c r="K30" s="190">
        <f t="shared" si="2"/>
        <v>0.21095208462974488</v>
      </c>
      <c r="L30" s="191">
        <v>80292194.12</v>
      </c>
      <c r="M30" s="192">
        <v>79387524.11</v>
      </c>
      <c r="N30" s="192">
        <v>3542018.41</v>
      </c>
      <c r="O30" s="192">
        <v>10589224.14</v>
      </c>
      <c r="P30" s="192">
        <v>9930776.6</v>
      </c>
      <c r="Q30" s="192">
        <v>2085464.2</v>
      </c>
      <c r="R30" s="192">
        <v>18968959.73</v>
      </c>
      <c r="S30" s="193">
        <f t="shared" si="3"/>
        <v>21054423.93</v>
      </c>
      <c r="T30" s="134">
        <f t="shared" si="4"/>
        <v>0.06219184696766482</v>
      </c>
      <c r="U30" s="134">
        <f t="shared" si="5"/>
        <v>0.06631539845747635</v>
      </c>
      <c r="V30" s="134">
        <f t="shared" si="6"/>
        <v>0.01306029483967483</v>
      </c>
      <c r="W30" s="194">
        <f t="shared" si="7"/>
        <v>0.13185408994568462</v>
      </c>
    </row>
    <row r="31" spans="1:23" ht="15">
      <c r="A31" s="185">
        <v>210033</v>
      </c>
      <c r="B31" s="186" t="s">
        <v>144</v>
      </c>
      <c r="C31" s="187" t="s">
        <v>122</v>
      </c>
      <c r="D31" s="188">
        <v>13582</v>
      </c>
      <c r="E31" s="189">
        <v>1611</v>
      </c>
      <c r="F31" s="189">
        <v>1721</v>
      </c>
      <c r="G31" s="189">
        <v>446</v>
      </c>
      <c r="H31" s="189">
        <v>2808</v>
      </c>
      <c r="I31" s="134">
        <f t="shared" si="0"/>
        <v>0.12671182447356796</v>
      </c>
      <c r="J31" s="134">
        <f t="shared" si="1"/>
        <v>0.11861286997496687</v>
      </c>
      <c r="K31" s="190">
        <f t="shared" si="2"/>
        <v>0.20674422029156236</v>
      </c>
      <c r="L31" s="191">
        <v>114820716.2</v>
      </c>
      <c r="M31" s="192">
        <v>138173757.45</v>
      </c>
      <c r="N31" s="192">
        <v>12732603.43</v>
      </c>
      <c r="O31" s="192">
        <v>22685656.83</v>
      </c>
      <c r="P31" s="192">
        <v>18412400.23</v>
      </c>
      <c r="Q31" s="192">
        <v>5086448.09</v>
      </c>
      <c r="R31" s="192">
        <v>37333028.66</v>
      </c>
      <c r="S31" s="193">
        <f t="shared" si="3"/>
        <v>42419476.75</v>
      </c>
      <c r="T31" s="134">
        <f t="shared" si="4"/>
        <v>0.07277787520162302</v>
      </c>
      <c r="U31" s="134">
        <f t="shared" si="5"/>
        <v>0.08966858644265885</v>
      </c>
      <c r="V31" s="134">
        <f t="shared" si="6"/>
        <v>0.020104977063794455</v>
      </c>
      <c r="W31" s="194">
        <f t="shared" si="7"/>
        <v>0.167669578461561</v>
      </c>
    </row>
    <row r="32" spans="1:23" ht="15">
      <c r="A32" s="185">
        <v>210034</v>
      </c>
      <c r="B32" s="186" t="s">
        <v>145</v>
      </c>
      <c r="C32" s="187" t="s">
        <v>231</v>
      </c>
      <c r="D32" s="188">
        <v>10861</v>
      </c>
      <c r="E32" s="189">
        <v>1315</v>
      </c>
      <c r="F32" s="189">
        <v>1339</v>
      </c>
      <c r="G32" s="189">
        <v>280</v>
      </c>
      <c r="H32" s="189">
        <v>2216</v>
      </c>
      <c r="I32" s="134">
        <f t="shared" si="0"/>
        <v>0.12328514869717337</v>
      </c>
      <c r="J32" s="134">
        <f t="shared" si="1"/>
        <v>0.12107540742104779</v>
      </c>
      <c r="K32" s="190">
        <f t="shared" si="2"/>
        <v>0.2040327778289292</v>
      </c>
      <c r="L32" s="191">
        <v>87376761.35</v>
      </c>
      <c r="M32" s="192">
        <v>121700333.6</v>
      </c>
      <c r="N32" s="192">
        <v>10842439.68</v>
      </c>
      <c r="O32" s="192">
        <v>19540814.43</v>
      </c>
      <c r="P32" s="192">
        <v>12588991.14</v>
      </c>
      <c r="Q32" s="192">
        <v>3570820.24</v>
      </c>
      <c r="R32" s="192">
        <v>29659979.16</v>
      </c>
      <c r="S32" s="193">
        <f t="shared" si="3"/>
        <v>33230799.4</v>
      </c>
      <c r="T32" s="134">
        <f t="shared" si="4"/>
        <v>0.060212196572803016</v>
      </c>
      <c r="U32" s="134">
        <f t="shared" si="5"/>
        <v>0.09346224384202924</v>
      </c>
      <c r="V32" s="134">
        <f t="shared" si="6"/>
        <v>0.017078964297136175</v>
      </c>
      <c r="W32" s="194">
        <f t="shared" si="7"/>
        <v>0.1589404109902475</v>
      </c>
    </row>
    <row r="33" spans="1:23" ht="15">
      <c r="A33" s="185">
        <v>210035</v>
      </c>
      <c r="B33" s="186" t="s">
        <v>184</v>
      </c>
      <c r="C33" s="187" t="s">
        <v>231</v>
      </c>
      <c r="D33" s="188">
        <v>9870</v>
      </c>
      <c r="E33" s="189">
        <v>1174</v>
      </c>
      <c r="F33" s="189">
        <v>1630</v>
      </c>
      <c r="G33" s="189">
        <v>172</v>
      </c>
      <c r="H33" s="189">
        <v>2323</v>
      </c>
      <c r="I33" s="134">
        <f t="shared" si="0"/>
        <v>0.1651469098277609</v>
      </c>
      <c r="J33" s="134">
        <f t="shared" si="1"/>
        <v>0.11894630192502532</v>
      </c>
      <c r="K33" s="190">
        <f t="shared" si="2"/>
        <v>0.2353596757852077</v>
      </c>
      <c r="L33" s="191">
        <v>65700447.67</v>
      </c>
      <c r="M33" s="192">
        <v>75497477.37</v>
      </c>
      <c r="N33" s="192">
        <v>8017407.93</v>
      </c>
      <c r="O33" s="192">
        <v>13471281.34</v>
      </c>
      <c r="P33" s="192">
        <v>13446578.98</v>
      </c>
      <c r="Q33" s="192">
        <v>1486243.87</v>
      </c>
      <c r="R33" s="192">
        <v>24258722.21</v>
      </c>
      <c r="S33" s="193">
        <f t="shared" si="3"/>
        <v>25744966.080000002</v>
      </c>
      <c r="T33" s="134">
        <f t="shared" si="4"/>
        <v>0.09523212877378129</v>
      </c>
      <c r="U33" s="134">
        <f t="shared" si="5"/>
        <v>0.09540707723703244</v>
      </c>
      <c r="V33" s="134">
        <f t="shared" si="6"/>
        <v>0.010525961125696157</v>
      </c>
      <c r="W33" s="194">
        <f t="shared" si="7"/>
        <v>0.18233246751116702</v>
      </c>
    </row>
    <row r="34" spans="1:23" ht="15">
      <c r="A34" s="185">
        <v>210037</v>
      </c>
      <c r="B34" s="186" t="s">
        <v>185</v>
      </c>
      <c r="C34" s="187" t="s">
        <v>122</v>
      </c>
      <c r="D34" s="188">
        <v>9531</v>
      </c>
      <c r="E34" s="189">
        <v>965</v>
      </c>
      <c r="F34" s="189">
        <v>1267</v>
      </c>
      <c r="G34" s="189">
        <v>260</v>
      </c>
      <c r="H34" s="189">
        <v>1859</v>
      </c>
      <c r="I34" s="134">
        <f t="shared" si="0"/>
        <v>0.13293463435106495</v>
      </c>
      <c r="J34" s="134">
        <f t="shared" si="1"/>
        <v>0.1012485573392089</v>
      </c>
      <c r="K34" s="190">
        <f t="shared" si="2"/>
        <v>0.1950477389570874</v>
      </c>
      <c r="L34" s="191">
        <v>83194218.44</v>
      </c>
      <c r="M34" s="192">
        <v>100428384.86</v>
      </c>
      <c r="N34" s="192">
        <v>3506294.78</v>
      </c>
      <c r="O34" s="192">
        <v>13760005.89</v>
      </c>
      <c r="P34" s="192">
        <v>13659758.14</v>
      </c>
      <c r="Q34" s="192">
        <v>2128603.88</v>
      </c>
      <c r="R34" s="192">
        <v>24533128.39</v>
      </c>
      <c r="S34" s="193">
        <f t="shared" si="3"/>
        <v>26661732.27</v>
      </c>
      <c r="T34" s="134">
        <f t="shared" si="4"/>
        <v>0.07439039581463117</v>
      </c>
      <c r="U34" s="134">
        <f t="shared" si="5"/>
        <v>0.0749363403127397</v>
      </c>
      <c r="V34" s="134">
        <f t="shared" si="6"/>
        <v>0.011592275905827983</v>
      </c>
      <c r="W34" s="194">
        <f t="shared" si="7"/>
        <v>0.14519853106777078</v>
      </c>
    </row>
    <row r="35" spans="1:23" ht="15">
      <c r="A35" s="185">
        <v>210038</v>
      </c>
      <c r="B35" s="186" t="s">
        <v>186</v>
      </c>
      <c r="C35" s="187" t="s">
        <v>231</v>
      </c>
      <c r="D35" s="188">
        <v>7194</v>
      </c>
      <c r="E35" s="189">
        <v>1731</v>
      </c>
      <c r="F35" s="189">
        <v>869</v>
      </c>
      <c r="G35" s="189">
        <v>137</v>
      </c>
      <c r="H35" s="189">
        <v>2250</v>
      </c>
      <c r="I35" s="134">
        <f t="shared" si="0"/>
        <v>0.12079510703363915</v>
      </c>
      <c r="J35" s="134">
        <f t="shared" si="1"/>
        <v>0.24061718098415347</v>
      </c>
      <c r="K35" s="190">
        <f t="shared" si="2"/>
        <v>0.3127606338615513</v>
      </c>
      <c r="L35" s="191">
        <v>102251326.3</v>
      </c>
      <c r="M35" s="192">
        <v>91470268.52</v>
      </c>
      <c r="N35" s="192">
        <v>11116365.8</v>
      </c>
      <c r="O35" s="192">
        <v>26225566.98</v>
      </c>
      <c r="P35" s="192">
        <v>10287177.08</v>
      </c>
      <c r="Q35" s="192">
        <v>2373913.97</v>
      </c>
      <c r="R35" s="192">
        <v>33865439.44</v>
      </c>
      <c r="S35" s="193">
        <f t="shared" si="3"/>
        <v>36239353.41</v>
      </c>
      <c r="T35" s="134">
        <f t="shared" si="4"/>
        <v>0.05310289278569341</v>
      </c>
      <c r="U35" s="134">
        <f t="shared" si="5"/>
        <v>0.1353776124152187</v>
      </c>
      <c r="V35" s="134">
        <f t="shared" si="6"/>
        <v>0.012254255764339366</v>
      </c>
      <c r="W35" s="194">
        <f t="shared" si="7"/>
        <v>0.18706924978432302</v>
      </c>
    </row>
    <row r="36" spans="1:23" ht="15">
      <c r="A36" s="185">
        <v>210039</v>
      </c>
      <c r="B36" s="186" t="s">
        <v>146</v>
      </c>
      <c r="C36" s="187" t="s">
        <v>122</v>
      </c>
      <c r="D36" s="188">
        <v>7059</v>
      </c>
      <c r="E36" s="189">
        <v>598</v>
      </c>
      <c r="F36" s="189">
        <v>917</v>
      </c>
      <c r="G36" s="189">
        <v>119</v>
      </c>
      <c r="H36" s="189">
        <v>1275</v>
      </c>
      <c r="I36" s="134">
        <f t="shared" si="0"/>
        <v>0.12990508570619066</v>
      </c>
      <c r="J36" s="134">
        <f t="shared" si="1"/>
        <v>0.0847145488029466</v>
      </c>
      <c r="K36" s="190">
        <f t="shared" si="2"/>
        <v>0.1806204844878878</v>
      </c>
      <c r="L36" s="191">
        <v>80178865.4</v>
      </c>
      <c r="M36" s="192">
        <v>62927430.529999994</v>
      </c>
      <c r="N36" s="192">
        <v>5284209.71</v>
      </c>
      <c r="O36" s="192">
        <v>7196133.38</v>
      </c>
      <c r="P36" s="192">
        <v>9399976.08</v>
      </c>
      <c r="Q36" s="192">
        <v>999326.24</v>
      </c>
      <c r="R36" s="192">
        <v>15004753.16</v>
      </c>
      <c r="S36" s="193">
        <f t="shared" si="3"/>
        <v>16004079.4</v>
      </c>
      <c r="T36" s="134">
        <f t="shared" si="4"/>
        <v>0.06568527274717507</v>
      </c>
      <c r="U36" s="134">
        <f t="shared" si="5"/>
        <v>0.05028523261841649</v>
      </c>
      <c r="V36" s="134">
        <f t="shared" si="6"/>
        <v>0.006983104646135326</v>
      </c>
      <c r="W36" s="194">
        <f t="shared" si="7"/>
        <v>0.11183351016106478</v>
      </c>
    </row>
    <row r="37" spans="1:23" ht="15">
      <c r="A37" s="185">
        <v>210040</v>
      </c>
      <c r="B37" s="186" t="s">
        <v>147</v>
      </c>
      <c r="C37" s="187" t="s">
        <v>231</v>
      </c>
      <c r="D37" s="188">
        <v>13072</v>
      </c>
      <c r="E37" s="189">
        <v>2189</v>
      </c>
      <c r="F37" s="189">
        <v>2185</v>
      </c>
      <c r="G37" s="189">
        <v>305</v>
      </c>
      <c r="H37" s="189">
        <v>3712</v>
      </c>
      <c r="I37" s="134">
        <f t="shared" si="0"/>
        <v>0.16715116279069767</v>
      </c>
      <c r="J37" s="134">
        <f t="shared" si="1"/>
        <v>0.16745716034271727</v>
      </c>
      <c r="K37" s="190">
        <f t="shared" si="2"/>
        <v>0.2839657282741738</v>
      </c>
      <c r="L37" s="191">
        <v>121179729.75</v>
      </c>
      <c r="M37" s="192">
        <v>129278771.60000001</v>
      </c>
      <c r="N37" s="192">
        <v>10380593.26</v>
      </c>
      <c r="O37" s="192">
        <v>29275755.59</v>
      </c>
      <c r="P37" s="192">
        <v>21083164.71</v>
      </c>
      <c r="Q37" s="192">
        <v>3251021.79</v>
      </c>
      <c r="R37" s="192">
        <v>46256700.67</v>
      </c>
      <c r="S37" s="193">
        <f t="shared" si="3"/>
        <v>49507722.46</v>
      </c>
      <c r="T37" s="134">
        <f t="shared" si="4"/>
        <v>0.08417827542830181</v>
      </c>
      <c r="U37" s="134">
        <f t="shared" si="5"/>
        <v>0.1168886479484638</v>
      </c>
      <c r="V37" s="134">
        <f t="shared" si="6"/>
        <v>0.012980281254086486</v>
      </c>
      <c r="W37" s="194">
        <f t="shared" si="7"/>
        <v>0.19766836499119697</v>
      </c>
    </row>
    <row r="38" spans="1:23" ht="15">
      <c r="A38" s="185">
        <v>210043</v>
      </c>
      <c r="B38" s="186" t="s">
        <v>148</v>
      </c>
      <c r="C38" s="187" t="s">
        <v>231</v>
      </c>
      <c r="D38" s="188">
        <v>21916</v>
      </c>
      <c r="E38" s="189">
        <v>3287</v>
      </c>
      <c r="F38" s="189">
        <v>3166</v>
      </c>
      <c r="G38" s="189">
        <v>770</v>
      </c>
      <c r="H38" s="189">
        <v>5375</v>
      </c>
      <c r="I38" s="134">
        <f t="shared" si="0"/>
        <v>0.14446066800511043</v>
      </c>
      <c r="J38" s="134">
        <f t="shared" si="1"/>
        <v>0.14998174849425078</v>
      </c>
      <c r="K38" s="190">
        <f t="shared" si="2"/>
        <v>0.24525460850520167</v>
      </c>
      <c r="L38" s="191">
        <v>170212402.53</v>
      </c>
      <c r="M38" s="192">
        <v>228623946.55</v>
      </c>
      <c r="N38" s="192">
        <v>16520602.03</v>
      </c>
      <c r="O38" s="192">
        <v>45663145.57</v>
      </c>
      <c r="P38" s="192">
        <v>28870357.2</v>
      </c>
      <c r="Q38" s="192">
        <v>7408121.3</v>
      </c>
      <c r="R38" s="192">
        <v>67645023.8</v>
      </c>
      <c r="S38" s="193">
        <f t="shared" si="3"/>
        <v>75053145.1</v>
      </c>
      <c r="T38" s="134">
        <f t="shared" si="4"/>
        <v>0.0723864744690286</v>
      </c>
      <c r="U38" s="134">
        <f t="shared" si="5"/>
        <v>0.11449093262269514</v>
      </c>
      <c r="V38" s="134">
        <f t="shared" si="6"/>
        <v>0.018574338364816523</v>
      </c>
      <c r="W38" s="194">
        <f t="shared" si="7"/>
        <v>0.18818030320738283</v>
      </c>
    </row>
    <row r="39" spans="1:23" ht="15">
      <c r="A39" s="185">
        <v>210044</v>
      </c>
      <c r="B39" s="186" t="s">
        <v>149</v>
      </c>
      <c r="C39" s="187" t="s">
        <v>231</v>
      </c>
      <c r="D39" s="188">
        <v>22484</v>
      </c>
      <c r="E39" s="189">
        <v>1790</v>
      </c>
      <c r="F39" s="189">
        <v>1620</v>
      </c>
      <c r="G39" s="189">
        <v>835</v>
      </c>
      <c r="H39" s="189">
        <v>3007</v>
      </c>
      <c r="I39" s="134">
        <f t="shared" si="0"/>
        <v>0.07205123643479808</v>
      </c>
      <c r="J39" s="134">
        <f t="shared" si="1"/>
        <v>0.07961216865326455</v>
      </c>
      <c r="K39" s="190">
        <f t="shared" si="2"/>
        <v>0.13373954812310976</v>
      </c>
      <c r="L39" s="191">
        <v>217293172.22</v>
      </c>
      <c r="M39" s="192">
        <v>214404565.87</v>
      </c>
      <c r="N39" s="192">
        <v>12273280.68</v>
      </c>
      <c r="O39" s="192">
        <v>22353536.18</v>
      </c>
      <c r="P39" s="192">
        <v>17295241.14</v>
      </c>
      <c r="Q39" s="192">
        <v>6596625.78</v>
      </c>
      <c r="R39" s="192">
        <v>37031363.34</v>
      </c>
      <c r="S39" s="193">
        <f t="shared" si="3"/>
        <v>43627989.120000005</v>
      </c>
      <c r="T39" s="134">
        <f t="shared" si="4"/>
        <v>0.040063311928667786</v>
      </c>
      <c r="U39" s="134">
        <f t="shared" si="5"/>
        <v>0.05178052652974464</v>
      </c>
      <c r="V39" s="134">
        <f t="shared" si="6"/>
        <v>0.015280658659890268</v>
      </c>
      <c r="W39" s="194">
        <f t="shared" si="7"/>
        <v>0.10106142624936448</v>
      </c>
    </row>
    <row r="40" spans="1:23" ht="15">
      <c r="A40" s="185">
        <v>210045</v>
      </c>
      <c r="B40" s="186" t="s">
        <v>150</v>
      </c>
      <c r="C40" s="187" t="s">
        <v>122</v>
      </c>
      <c r="D40" s="188">
        <v>397</v>
      </c>
      <c r="E40" s="189">
        <v>46</v>
      </c>
      <c r="F40" s="189">
        <v>145</v>
      </c>
      <c r="G40" s="189">
        <v>0</v>
      </c>
      <c r="H40" s="189">
        <v>163</v>
      </c>
      <c r="I40" s="134">
        <f t="shared" si="0"/>
        <v>0.36523929471032746</v>
      </c>
      <c r="J40" s="134">
        <f t="shared" si="1"/>
        <v>0.11586901763224182</v>
      </c>
      <c r="K40" s="190">
        <f t="shared" si="2"/>
        <v>0.4105793450881612</v>
      </c>
      <c r="L40" s="191">
        <v>11960860</v>
      </c>
      <c r="M40" s="192">
        <v>3421884.88</v>
      </c>
      <c r="N40" s="192">
        <v>335975.12</v>
      </c>
      <c r="O40" s="192">
        <v>665209.02</v>
      </c>
      <c r="P40" s="192">
        <v>1270552.16</v>
      </c>
      <c r="Q40" s="192">
        <v>0</v>
      </c>
      <c r="R40" s="192">
        <v>1801984.87</v>
      </c>
      <c r="S40" s="193">
        <f t="shared" si="3"/>
        <v>1801984.87</v>
      </c>
      <c r="T40" s="134">
        <f t="shared" si="4"/>
        <v>0.08259593264475956</v>
      </c>
      <c r="U40" s="134">
        <f t="shared" si="5"/>
        <v>0.043243844007637214</v>
      </c>
      <c r="V40" s="134">
        <f t="shared" si="6"/>
        <v>0</v>
      </c>
      <c r="W40" s="194">
        <f t="shared" si="7"/>
        <v>0.11714325915544926</v>
      </c>
    </row>
    <row r="41" spans="1:23" ht="15">
      <c r="A41" s="185">
        <v>210048</v>
      </c>
      <c r="B41" s="186" t="s">
        <v>151</v>
      </c>
      <c r="C41" s="187" t="s">
        <v>231</v>
      </c>
      <c r="D41" s="188">
        <v>21526</v>
      </c>
      <c r="E41" s="189">
        <v>1975</v>
      </c>
      <c r="F41" s="189">
        <v>2015</v>
      </c>
      <c r="G41" s="189">
        <v>619</v>
      </c>
      <c r="H41" s="189">
        <v>3389</v>
      </c>
      <c r="I41" s="134">
        <f t="shared" si="0"/>
        <v>0.0936077301867509</v>
      </c>
      <c r="J41" s="134">
        <f t="shared" si="1"/>
        <v>0.09174951221778314</v>
      </c>
      <c r="K41" s="190">
        <f t="shared" si="2"/>
        <v>0.15743751742079345</v>
      </c>
      <c r="L41" s="191">
        <v>107345228.38</v>
      </c>
      <c r="M41" s="192">
        <v>176310355.58</v>
      </c>
      <c r="N41" s="192">
        <v>7429620.79</v>
      </c>
      <c r="O41" s="192">
        <v>24726975.17</v>
      </c>
      <c r="P41" s="192">
        <v>17838060.62</v>
      </c>
      <c r="Q41" s="192">
        <v>5050877.42</v>
      </c>
      <c r="R41" s="192">
        <v>38731995.82</v>
      </c>
      <c r="S41" s="193">
        <f t="shared" si="3"/>
        <v>43782873.24</v>
      </c>
      <c r="T41" s="134">
        <f t="shared" si="4"/>
        <v>0.06288633691242776</v>
      </c>
      <c r="U41" s="134">
        <f t="shared" si="5"/>
        <v>0.08717253094332492</v>
      </c>
      <c r="V41" s="134">
        <f t="shared" si="6"/>
        <v>0.01780637401699187</v>
      </c>
      <c r="W41" s="194">
        <f t="shared" si="7"/>
        <v>0.15435223459649602</v>
      </c>
    </row>
    <row r="42" spans="1:23" ht="15">
      <c r="A42" s="185">
        <v>210049</v>
      </c>
      <c r="B42" s="186" t="s">
        <v>152</v>
      </c>
      <c r="C42" s="187" t="s">
        <v>231</v>
      </c>
      <c r="D42" s="188">
        <v>17149</v>
      </c>
      <c r="E42" s="189">
        <v>2137</v>
      </c>
      <c r="F42" s="189">
        <v>2284</v>
      </c>
      <c r="G42" s="189">
        <v>408</v>
      </c>
      <c r="H42" s="189">
        <v>3712</v>
      </c>
      <c r="I42" s="134">
        <f t="shared" si="0"/>
        <v>0.13318560849029099</v>
      </c>
      <c r="J42" s="134">
        <f t="shared" si="1"/>
        <v>0.12461368009796489</v>
      </c>
      <c r="K42" s="190">
        <f t="shared" si="2"/>
        <v>0.21645577001574437</v>
      </c>
      <c r="L42" s="191">
        <v>175841855.58</v>
      </c>
      <c r="M42" s="192">
        <v>140357722.86</v>
      </c>
      <c r="N42" s="192">
        <v>29180350.39</v>
      </c>
      <c r="O42" s="192">
        <v>25690854.64</v>
      </c>
      <c r="P42" s="192">
        <v>18724694.38</v>
      </c>
      <c r="Q42" s="192">
        <v>3680160.01</v>
      </c>
      <c r="R42" s="192">
        <v>40535474.39</v>
      </c>
      <c r="S42" s="193">
        <f t="shared" si="3"/>
        <v>44215634.4</v>
      </c>
      <c r="T42" s="134">
        <f t="shared" si="4"/>
        <v>0.059217961239480504</v>
      </c>
      <c r="U42" s="134">
        <f t="shared" si="5"/>
        <v>0.08124885797365138</v>
      </c>
      <c r="V42" s="134">
        <f t="shared" si="6"/>
        <v>0.011638725225872882</v>
      </c>
      <c r="W42" s="194">
        <f t="shared" si="7"/>
        <v>0.13983457732025428</v>
      </c>
    </row>
    <row r="43" spans="1:23" ht="15">
      <c r="A43" s="185">
        <v>210051</v>
      </c>
      <c r="B43" s="186" t="s">
        <v>153</v>
      </c>
      <c r="C43" s="187" t="s">
        <v>231</v>
      </c>
      <c r="D43" s="188">
        <v>10678</v>
      </c>
      <c r="E43" s="189">
        <v>1651</v>
      </c>
      <c r="F43" s="189">
        <v>1967</v>
      </c>
      <c r="G43" s="189">
        <v>433</v>
      </c>
      <c r="H43" s="189">
        <v>3024</v>
      </c>
      <c r="I43" s="134">
        <f t="shared" si="0"/>
        <v>0.18421052631578946</v>
      </c>
      <c r="J43" s="134">
        <f t="shared" si="1"/>
        <v>0.1546169694699382</v>
      </c>
      <c r="K43" s="190">
        <f t="shared" si="2"/>
        <v>0.28319910095523504</v>
      </c>
      <c r="L43" s="191">
        <v>96211282.67</v>
      </c>
      <c r="M43" s="192">
        <v>128278314.38000001</v>
      </c>
      <c r="N43" s="192">
        <v>8622537.67</v>
      </c>
      <c r="O43" s="192">
        <v>25047131.98</v>
      </c>
      <c r="P43" s="192">
        <v>18719205.76</v>
      </c>
      <c r="Q43" s="192">
        <v>5436672.74</v>
      </c>
      <c r="R43" s="192">
        <v>40277164.83</v>
      </c>
      <c r="S43" s="193">
        <f t="shared" si="3"/>
        <v>45713837.57</v>
      </c>
      <c r="T43" s="134">
        <f t="shared" si="4"/>
        <v>0.0833856267995827</v>
      </c>
      <c r="U43" s="134">
        <f t="shared" si="5"/>
        <v>0.11157368675048811</v>
      </c>
      <c r="V43" s="134">
        <f t="shared" si="6"/>
        <v>0.0242179272957094</v>
      </c>
      <c r="W43" s="194">
        <f t="shared" si="7"/>
        <v>0.2036345477506393</v>
      </c>
    </row>
    <row r="44" spans="1:23" ht="15">
      <c r="A44" s="185">
        <v>210055</v>
      </c>
      <c r="B44" s="186" t="s">
        <v>154</v>
      </c>
      <c r="C44" s="187" t="s">
        <v>231</v>
      </c>
      <c r="D44" s="188">
        <v>6682</v>
      </c>
      <c r="E44" s="189">
        <v>830</v>
      </c>
      <c r="F44" s="189">
        <v>745</v>
      </c>
      <c r="G44" s="189">
        <v>158</v>
      </c>
      <c r="H44" s="189">
        <v>1381</v>
      </c>
      <c r="I44" s="134">
        <f t="shared" si="0"/>
        <v>0.1114935648009578</v>
      </c>
      <c r="J44" s="134">
        <f t="shared" si="1"/>
        <v>0.12421430709368453</v>
      </c>
      <c r="K44" s="190">
        <f t="shared" si="2"/>
        <v>0.20667464830888954</v>
      </c>
      <c r="L44" s="191">
        <v>49403787.86</v>
      </c>
      <c r="M44" s="192">
        <v>49778923.79</v>
      </c>
      <c r="N44" s="192">
        <v>8674545.57</v>
      </c>
      <c r="O44" s="192">
        <v>9642680.03</v>
      </c>
      <c r="P44" s="192">
        <v>5838550.7</v>
      </c>
      <c r="Q44" s="192">
        <v>1550542.38</v>
      </c>
      <c r="R44" s="192">
        <v>14574206.96</v>
      </c>
      <c r="S44" s="193">
        <f t="shared" si="3"/>
        <v>16124749.34</v>
      </c>
      <c r="T44" s="134">
        <f t="shared" si="4"/>
        <v>0.058866617002803025</v>
      </c>
      <c r="U44" s="134">
        <f t="shared" si="5"/>
        <v>0.09722137930678364</v>
      </c>
      <c r="V44" s="134">
        <f t="shared" si="6"/>
        <v>0.015633192057418404</v>
      </c>
      <c r="W44" s="194">
        <f t="shared" si="7"/>
        <v>0.1625762098227529</v>
      </c>
    </row>
    <row r="45" spans="1:23" ht="15">
      <c r="A45" s="185">
        <v>210056</v>
      </c>
      <c r="B45" s="186" t="s">
        <v>155</v>
      </c>
      <c r="C45" s="187" t="s">
        <v>231</v>
      </c>
      <c r="D45" s="188">
        <v>13153</v>
      </c>
      <c r="E45" s="189">
        <v>2386</v>
      </c>
      <c r="F45" s="189">
        <v>2149</v>
      </c>
      <c r="G45" s="189">
        <v>463</v>
      </c>
      <c r="H45" s="189">
        <v>3803</v>
      </c>
      <c r="I45" s="134">
        <f t="shared" si="0"/>
        <v>0.16338477913783928</v>
      </c>
      <c r="J45" s="134">
        <f t="shared" si="1"/>
        <v>0.18140348209533946</v>
      </c>
      <c r="K45" s="190">
        <f t="shared" si="2"/>
        <v>0.28913555842773514</v>
      </c>
      <c r="L45" s="191">
        <v>127257438.9</v>
      </c>
      <c r="M45" s="192">
        <v>177612422.79</v>
      </c>
      <c r="N45" s="192">
        <v>8998823.81</v>
      </c>
      <c r="O45" s="192">
        <v>33326249.2</v>
      </c>
      <c r="P45" s="192">
        <v>20657861.89</v>
      </c>
      <c r="Q45" s="192">
        <v>5517391.51</v>
      </c>
      <c r="R45" s="192">
        <v>49475100.87</v>
      </c>
      <c r="S45" s="193">
        <f t="shared" si="3"/>
        <v>54992492.379999995</v>
      </c>
      <c r="T45" s="134">
        <f t="shared" si="4"/>
        <v>0.06775960659242034</v>
      </c>
      <c r="U45" s="134">
        <f t="shared" si="5"/>
        <v>0.1093130328306674</v>
      </c>
      <c r="V45" s="134">
        <f t="shared" si="6"/>
        <v>0.018097530137663242</v>
      </c>
      <c r="W45" s="194">
        <f t="shared" si="7"/>
        <v>0.18038021887489117</v>
      </c>
    </row>
    <row r="46" spans="1:23" ht="15">
      <c r="A46" s="185">
        <v>210057</v>
      </c>
      <c r="B46" s="186" t="s">
        <v>156</v>
      </c>
      <c r="C46" s="187" t="s">
        <v>231</v>
      </c>
      <c r="D46" s="188">
        <v>26289</v>
      </c>
      <c r="E46" s="189">
        <v>2066</v>
      </c>
      <c r="F46" s="189">
        <v>1985</v>
      </c>
      <c r="G46" s="189">
        <v>686</v>
      </c>
      <c r="H46" s="189">
        <v>3508</v>
      </c>
      <c r="I46" s="134">
        <f t="shared" si="0"/>
        <v>0.07550686598957738</v>
      </c>
      <c r="J46" s="134">
        <f t="shared" si="1"/>
        <v>0.07858800258663319</v>
      </c>
      <c r="K46" s="190">
        <f t="shared" si="2"/>
        <v>0.13343984175891058</v>
      </c>
      <c r="L46" s="191">
        <v>152620741.28</v>
      </c>
      <c r="M46" s="192">
        <v>231311537.66</v>
      </c>
      <c r="N46" s="192">
        <v>11972691.32</v>
      </c>
      <c r="O46" s="192">
        <v>27781764.22</v>
      </c>
      <c r="P46" s="192">
        <v>17951697.16</v>
      </c>
      <c r="Q46" s="192">
        <v>5876477.82</v>
      </c>
      <c r="R46" s="192">
        <v>42469817.75</v>
      </c>
      <c r="S46" s="193">
        <f t="shared" si="3"/>
        <v>48346295.57</v>
      </c>
      <c r="T46" s="134">
        <f t="shared" si="4"/>
        <v>0.04675745735566414</v>
      </c>
      <c r="U46" s="134">
        <f t="shared" si="5"/>
        <v>0.07236110570515918</v>
      </c>
      <c r="V46" s="134">
        <f t="shared" si="6"/>
        <v>0.015306026980134071</v>
      </c>
      <c r="W46" s="194">
        <f t="shared" si="7"/>
        <v>0.1259240189532369</v>
      </c>
    </row>
    <row r="47" spans="1:23" ht="15">
      <c r="A47" s="185">
        <v>210058</v>
      </c>
      <c r="B47" s="186" t="s">
        <v>187</v>
      </c>
      <c r="C47" s="187" t="s">
        <v>231</v>
      </c>
      <c r="D47" s="188">
        <v>2694</v>
      </c>
      <c r="E47" s="189">
        <v>283</v>
      </c>
      <c r="F47" s="189">
        <v>0</v>
      </c>
      <c r="G47" s="189">
        <v>74</v>
      </c>
      <c r="H47" s="189">
        <v>283</v>
      </c>
      <c r="I47" s="134">
        <f t="shared" si="0"/>
        <v>0</v>
      </c>
      <c r="J47" s="134">
        <f t="shared" si="1"/>
        <v>0.1050482553823311</v>
      </c>
      <c r="K47" s="190">
        <f t="shared" si="2"/>
        <v>0.1050482553823311</v>
      </c>
      <c r="L47" s="191">
        <v>46228008.15</v>
      </c>
      <c r="M47" s="192">
        <v>50922566.54</v>
      </c>
      <c r="N47" s="192">
        <v>0</v>
      </c>
      <c r="O47" s="192">
        <v>6384653.58</v>
      </c>
      <c r="P47" s="192">
        <v>0</v>
      </c>
      <c r="Q47" s="192">
        <v>975037.99</v>
      </c>
      <c r="R47" s="192">
        <v>6384653.58</v>
      </c>
      <c r="S47" s="193">
        <f t="shared" si="3"/>
        <v>7359691.57</v>
      </c>
      <c r="T47" s="134">
        <f t="shared" si="4"/>
        <v>0</v>
      </c>
      <c r="U47" s="134">
        <f t="shared" si="5"/>
        <v>0.06571915400781661</v>
      </c>
      <c r="V47" s="134">
        <f t="shared" si="6"/>
        <v>0.010036358437521046</v>
      </c>
      <c r="W47" s="194">
        <f t="shared" si="7"/>
        <v>0.07575551244533765</v>
      </c>
    </row>
    <row r="48" spans="1:23" ht="15">
      <c r="A48" s="185">
        <v>210060</v>
      </c>
      <c r="B48" s="186" t="s">
        <v>157</v>
      </c>
      <c r="C48" s="187" t="s">
        <v>231</v>
      </c>
      <c r="D48" s="188">
        <v>2953</v>
      </c>
      <c r="E48" s="189">
        <v>493</v>
      </c>
      <c r="F48" s="189">
        <v>780</v>
      </c>
      <c r="G48" s="189">
        <v>25</v>
      </c>
      <c r="H48" s="189">
        <v>1033</v>
      </c>
      <c r="I48" s="134">
        <f t="shared" si="0"/>
        <v>0.26413816457839484</v>
      </c>
      <c r="J48" s="134">
        <f t="shared" si="1"/>
        <v>0.166948865560447</v>
      </c>
      <c r="K48" s="190">
        <f t="shared" si="2"/>
        <v>0.34981374873010496</v>
      </c>
      <c r="L48" s="191">
        <v>28860994.84</v>
      </c>
      <c r="M48" s="192">
        <v>19499168.18</v>
      </c>
      <c r="N48" s="192">
        <v>4394751.19</v>
      </c>
      <c r="O48" s="192">
        <v>4900980.18</v>
      </c>
      <c r="P48" s="192">
        <v>5295093.1</v>
      </c>
      <c r="Q48" s="192">
        <v>459171.07</v>
      </c>
      <c r="R48" s="192">
        <v>9071865.26</v>
      </c>
      <c r="S48" s="193">
        <f t="shared" si="3"/>
        <v>9531036.33</v>
      </c>
      <c r="T48" s="134">
        <f t="shared" si="4"/>
        <v>0.10949287118428742</v>
      </c>
      <c r="U48" s="134">
        <f t="shared" si="5"/>
        <v>0.10134333455354841</v>
      </c>
      <c r="V48" s="134">
        <f t="shared" si="6"/>
        <v>0.009494820557368751</v>
      </c>
      <c r="W48" s="194">
        <f t="shared" si="7"/>
        <v>0.1970844541210151</v>
      </c>
    </row>
    <row r="49" spans="1:23" ht="15">
      <c r="A49" s="185">
        <v>210061</v>
      </c>
      <c r="B49" s="186" t="s">
        <v>158</v>
      </c>
      <c r="C49" s="187" t="s">
        <v>231</v>
      </c>
      <c r="D49" s="188">
        <v>3802</v>
      </c>
      <c r="E49" s="189">
        <v>514</v>
      </c>
      <c r="F49" s="189">
        <v>812</v>
      </c>
      <c r="G49" s="189">
        <v>85</v>
      </c>
      <c r="H49" s="189">
        <v>1090</v>
      </c>
      <c r="I49" s="134">
        <f t="shared" si="0"/>
        <v>0.2135718043135192</v>
      </c>
      <c r="J49" s="134">
        <f t="shared" si="1"/>
        <v>0.13519200420831143</v>
      </c>
      <c r="K49" s="190">
        <f t="shared" si="2"/>
        <v>0.2866912151499211</v>
      </c>
      <c r="L49" s="191">
        <v>64879728.24</v>
      </c>
      <c r="M49" s="192">
        <v>36289997.57</v>
      </c>
      <c r="N49" s="192">
        <v>4050079.28</v>
      </c>
      <c r="O49" s="192">
        <v>6529342.4</v>
      </c>
      <c r="P49" s="192">
        <v>6410616.1</v>
      </c>
      <c r="Q49" s="192">
        <v>812086.2</v>
      </c>
      <c r="R49" s="192">
        <v>11624780.48</v>
      </c>
      <c r="S49" s="193">
        <f t="shared" si="3"/>
        <v>12436866.68</v>
      </c>
      <c r="T49" s="134">
        <f t="shared" si="4"/>
        <v>0.06336496465394542</v>
      </c>
      <c r="U49" s="134">
        <f t="shared" si="5"/>
        <v>0.06453850050223835</v>
      </c>
      <c r="V49" s="134">
        <f t="shared" si="6"/>
        <v>0.00802696847795282</v>
      </c>
      <c r="W49" s="194">
        <f t="shared" si="7"/>
        <v>0.12293071450402895</v>
      </c>
    </row>
    <row r="50" spans="1:23" ht="15">
      <c r="A50" s="185">
        <v>210062</v>
      </c>
      <c r="B50" s="186" t="s">
        <v>159</v>
      </c>
      <c r="C50" s="187" t="s">
        <v>231</v>
      </c>
      <c r="D50" s="188">
        <v>18159</v>
      </c>
      <c r="E50" s="189">
        <v>2275</v>
      </c>
      <c r="F50" s="189">
        <v>2682</v>
      </c>
      <c r="G50" s="189">
        <v>553</v>
      </c>
      <c r="H50" s="189">
        <v>4156</v>
      </c>
      <c r="I50" s="134">
        <f t="shared" si="0"/>
        <v>0.14769535767388073</v>
      </c>
      <c r="J50" s="134">
        <f t="shared" si="1"/>
        <v>0.12528222919764304</v>
      </c>
      <c r="K50" s="190">
        <f t="shared" si="2"/>
        <v>0.22886722837160636</v>
      </c>
      <c r="L50" s="191">
        <v>106332044.22</v>
      </c>
      <c r="M50" s="192">
        <v>157804978.76000002</v>
      </c>
      <c r="N50" s="192">
        <v>23469552.01</v>
      </c>
      <c r="O50" s="192">
        <v>28217613.13</v>
      </c>
      <c r="P50" s="192">
        <v>24842452.99</v>
      </c>
      <c r="Q50" s="192">
        <v>6536846.81</v>
      </c>
      <c r="R50" s="192">
        <v>48303630.36</v>
      </c>
      <c r="S50" s="193">
        <f t="shared" si="3"/>
        <v>54840477.17</v>
      </c>
      <c r="T50" s="134">
        <f t="shared" si="4"/>
        <v>0.09405138556392764</v>
      </c>
      <c r="U50" s="134">
        <f t="shared" si="5"/>
        <v>0.10682945091016864</v>
      </c>
      <c r="V50" s="134">
        <f t="shared" si="6"/>
        <v>0.02474793853679103</v>
      </c>
      <c r="W50" s="194">
        <f t="shared" si="7"/>
        <v>0.20762131923532895</v>
      </c>
    </row>
    <row r="51" spans="1:23" ht="15.75" thickBot="1">
      <c r="A51" s="185">
        <v>210063</v>
      </c>
      <c r="B51" s="186" t="s">
        <v>188</v>
      </c>
      <c r="C51" s="187" t="s">
        <v>231</v>
      </c>
      <c r="D51" s="188">
        <v>19689</v>
      </c>
      <c r="E51" s="189">
        <v>1862</v>
      </c>
      <c r="F51" s="189">
        <v>1470</v>
      </c>
      <c r="G51" s="189">
        <v>821</v>
      </c>
      <c r="H51" s="189">
        <v>2897</v>
      </c>
      <c r="I51" s="134">
        <f t="shared" si="0"/>
        <v>0.0746609782111839</v>
      </c>
      <c r="J51" s="134">
        <f t="shared" si="1"/>
        <v>0.09457057240083296</v>
      </c>
      <c r="K51" s="190">
        <f t="shared" si="2"/>
        <v>0.14713799583523796</v>
      </c>
      <c r="L51" s="191">
        <v>139611043.87</v>
      </c>
      <c r="M51" s="192">
        <v>219579189.87</v>
      </c>
      <c r="N51" s="192">
        <v>3753838.46</v>
      </c>
      <c r="O51" s="192">
        <v>23109327.41</v>
      </c>
      <c r="P51" s="192">
        <v>12407475.78</v>
      </c>
      <c r="Q51" s="192">
        <v>5923574.79</v>
      </c>
      <c r="R51" s="192">
        <v>32991043.34</v>
      </c>
      <c r="S51" s="193">
        <f t="shared" si="3"/>
        <v>38914618.13</v>
      </c>
      <c r="T51" s="134">
        <f t="shared" si="4"/>
        <v>0.03454290961869847</v>
      </c>
      <c r="U51" s="134">
        <f t="shared" si="5"/>
        <v>0.06433729327598504</v>
      </c>
      <c r="V51" s="134">
        <f t="shared" si="6"/>
        <v>0.016491469515531935</v>
      </c>
      <c r="W51" s="194">
        <f t="shared" si="7"/>
        <v>0.10833985580512293</v>
      </c>
    </row>
    <row r="52" spans="1:23" ht="15.75" thickBot="1">
      <c r="A52" s="332" t="s">
        <v>160</v>
      </c>
      <c r="B52" s="333"/>
      <c r="C52" s="195" t="s">
        <v>161</v>
      </c>
      <c r="D52" s="196">
        <f>SUM(D6:D51)</f>
        <v>715218</v>
      </c>
      <c r="E52" s="196">
        <f>SUM(E6:E51)</f>
        <v>88106</v>
      </c>
      <c r="F52" s="196">
        <f>SUM(F6:F51)</f>
        <v>75648</v>
      </c>
      <c r="G52" s="196">
        <f>SUM(G6:G51)</f>
        <v>22968</v>
      </c>
      <c r="H52" s="196">
        <f>SUM(H6:H51)</f>
        <v>138613</v>
      </c>
      <c r="I52" s="197">
        <f t="shared" si="0"/>
        <v>0.10576915010528258</v>
      </c>
      <c r="J52" s="197">
        <f t="shared" si="1"/>
        <v>0.1231876155242178</v>
      </c>
      <c r="K52" s="198">
        <f t="shared" si="2"/>
        <v>0.19380524539371213</v>
      </c>
      <c r="L52" s="199">
        <f aca="true" t="shared" si="8" ref="L52:S52">SUM(L6:L51)</f>
        <v>6462115569.569998</v>
      </c>
      <c r="M52" s="199">
        <f t="shared" si="8"/>
        <v>9116094147.790003</v>
      </c>
      <c r="N52" s="199">
        <f t="shared" si="8"/>
        <v>433279686.05999994</v>
      </c>
      <c r="O52" s="199">
        <f t="shared" si="8"/>
        <v>1287915707.6900005</v>
      </c>
      <c r="P52" s="199">
        <f t="shared" si="8"/>
        <v>774351451.9500003</v>
      </c>
      <c r="Q52" s="199">
        <f t="shared" si="8"/>
        <v>253455369.43999997</v>
      </c>
      <c r="R52" s="199">
        <f t="shared" si="8"/>
        <v>1872499116.48</v>
      </c>
      <c r="S52" s="200">
        <f t="shared" si="8"/>
        <v>2125954485.9199998</v>
      </c>
      <c r="T52" s="197">
        <f t="shared" si="4"/>
        <v>0.049707345452351996</v>
      </c>
      <c r="U52" s="197">
        <f>O52/(L52+M52)</f>
        <v>0.0826741795788496</v>
      </c>
      <c r="V52" s="197">
        <f t="shared" si="6"/>
        <v>0.016269865025475623</v>
      </c>
      <c r="W52" s="198">
        <f t="shared" si="7"/>
        <v>0.1364697564413249</v>
      </c>
    </row>
    <row r="53" spans="1:4" ht="14.25">
      <c r="A53" s="122" t="s">
        <v>232</v>
      </c>
      <c r="D53" s="202"/>
    </row>
    <row r="54" spans="1:13" ht="14.25">
      <c r="A54" s="203" t="s">
        <v>233</v>
      </c>
      <c r="D54" s="202"/>
      <c r="M54" s="204"/>
    </row>
    <row r="55" spans="1:4" ht="14.25">
      <c r="A55" s="122" t="s">
        <v>234</v>
      </c>
      <c r="D55" s="202"/>
    </row>
    <row r="56" spans="1:4" ht="14.25">
      <c r="A56" s="122" t="s">
        <v>235</v>
      </c>
      <c r="D56" s="202"/>
    </row>
    <row r="57" ht="14.25">
      <c r="D57" s="202"/>
    </row>
    <row r="58" ht="14.25">
      <c r="D58" s="202"/>
    </row>
    <row r="62" ht="14.25">
      <c r="B62" s="118"/>
    </row>
  </sheetData>
  <sheetProtection/>
  <mergeCells count="7">
    <mergeCell ref="A52:B52"/>
    <mergeCell ref="A1:W1"/>
    <mergeCell ref="A2:C3"/>
    <mergeCell ref="D2:K2"/>
    <mergeCell ref="L2:W2"/>
    <mergeCell ref="D3:K3"/>
    <mergeCell ref="L3:W3"/>
  </mergeCells>
  <printOptions/>
  <pageMargins left="0.25" right="0.25" top="0.75" bottom="0.75" header="0.3" footer="0.3"/>
  <pageSetup fitToHeight="1" fitToWidth="1" horizontalDpi="600" verticalDpi="600" orientation="landscape" paperSize="5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11.00390625" style="0" customWidth="1"/>
    <col min="3" max="4" width="10.7109375" style="0" customWidth="1"/>
    <col min="5" max="5" width="10.7109375" style="0" hidden="1" customWidth="1"/>
    <col min="6" max="6" width="13.421875" style="0" customWidth="1"/>
    <col min="7" max="7" width="11.7109375" style="0" customWidth="1"/>
    <col min="8" max="8" width="10.28125" style="0" customWidth="1"/>
    <col min="9" max="9" width="13.57421875" style="0" customWidth="1"/>
    <col min="10" max="10" width="12.00390625" style="0" customWidth="1"/>
    <col min="11" max="11" width="11.8515625" style="0" customWidth="1"/>
  </cols>
  <sheetData>
    <row r="2" spans="1:7" ht="14.25">
      <c r="A2" s="10"/>
      <c r="B2" s="1" t="s">
        <v>257</v>
      </c>
      <c r="G2" s="1" t="s">
        <v>258</v>
      </c>
    </row>
    <row r="3" spans="1:11" ht="57">
      <c r="A3" s="17" t="s">
        <v>0</v>
      </c>
      <c r="B3" s="218" t="s">
        <v>253</v>
      </c>
      <c r="C3" s="218" t="s">
        <v>259</v>
      </c>
      <c r="D3" s="218" t="s">
        <v>261</v>
      </c>
      <c r="E3" s="218" t="s">
        <v>260</v>
      </c>
      <c r="F3" s="218" t="s">
        <v>262</v>
      </c>
      <c r="G3" s="240" t="s">
        <v>253</v>
      </c>
      <c r="H3" s="240" t="s">
        <v>164</v>
      </c>
      <c r="I3" s="240" t="s">
        <v>264</v>
      </c>
      <c r="J3" s="277" t="s">
        <v>263</v>
      </c>
      <c r="K3" s="277" t="s">
        <v>276</v>
      </c>
    </row>
    <row r="4" spans="1:11" ht="14.25">
      <c r="A4" s="248" t="s">
        <v>244</v>
      </c>
      <c r="B4" s="58">
        <v>364901</v>
      </c>
      <c r="C4" s="58">
        <v>363570</v>
      </c>
      <c r="D4" s="247">
        <f aca="true" t="shared" si="0" ref="D4:D12">C4/B4-1</f>
        <v>-0.0036475646819273955</v>
      </c>
      <c r="E4" s="58">
        <v>364789</v>
      </c>
      <c r="F4" s="243">
        <f>(E4/C4)^(1/5)-1</f>
        <v>0.0006696748497985183</v>
      </c>
      <c r="G4" s="58">
        <v>369754</v>
      </c>
      <c r="H4" s="254">
        <v>355884</v>
      </c>
      <c r="I4" s="239">
        <f>H4/G4-1</f>
        <v>-0.03751142651600792</v>
      </c>
      <c r="J4" s="253">
        <f aca="true" t="shared" si="1" ref="J4:J12">B4/G4-1</f>
        <v>-0.013124942529357364</v>
      </c>
      <c r="K4" s="252">
        <f>D4-I4</f>
        <v>0.03386386183408052</v>
      </c>
    </row>
    <row r="5" spans="1:11" ht="14.25">
      <c r="A5" s="248" t="s">
        <v>247</v>
      </c>
      <c r="B5" s="58">
        <v>746038</v>
      </c>
      <c r="C5" s="58">
        <v>747008</v>
      </c>
      <c r="D5" s="247">
        <f t="shared" si="0"/>
        <v>0.0013002018663927917</v>
      </c>
      <c r="E5" s="58">
        <v>749049</v>
      </c>
      <c r="F5" s="243">
        <f aca="true" t="shared" si="2" ref="F5:F12">(E5/C5)^(1/5)-1</f>
        <v>0.0005458503937316728</v>
      </c>
      <c r="G5" s="58">
        <v>751764</v>
      </c>
      <c r="H5" s="251">
        <v>750684</v>
      </c>
      <c r="I5" s="239">
        <f aca="true" t="shared" si="3" ref="I5:I12">H5/G5-1</f>
        <v>-0.0014366210672498436</v>
      </c>
      <c r="J5" s="253">
        <f t="shared" si="1"/>
        <v>-0.007616752065807919</v>
      </c>
      <c r="K5" s="252">
        <f aca="true" t="shared" si="4" ref="K5:K12">D5-I5</f>
        <v>0.0027368229336426353</v>
      </c>
    </row>
    <row r="6" spans="1:11" ht="14.25">
      <c r="A6" s="246" t="s">
        <v>245</v>
      </c>
      <c r="B6" s="58">
        <v>2304400</v>
      </c>
      <c r="C6" s="58">
        <v>2314536</v>
      </c>
      <c r="D6" s="247">
        <f t="shared" si="0"/>
        <v>0.004398541919805599</v>
      </c>
      <c r="E6" s="58">
        <v>2411937</v>
      </c>
      <c r="F6" s="243">
        <f t="shared" si="2"/>
        <v>0.00827826159933176</v>
      </c>
      <c r="G6" s="58">
        <v>2389511</v>
      </c>
      <c r="H6" s="251">
        <v>2409248</v>
      </c>
      <c r="I6" s="239">
        <f t="shared" si="3"/>
        <v>0.008259848981653661</v>
      </c>
      <c r="J6" s="253">
        <f t="shared" si="1"/>
        <v>-0.03561858472298307</v>
      </c>
      <c r="K6" s="252">
        <f t="shared" si="4"/>
        <v>-0.0038613070618480627</v>
      </c>
    </row>
    <row r="7" spans="1:11" ht="14.25">
      <c r="A7" s="248" t="s">
        <v>246</v>
      </c>
      <c r="B7" s="58">
        <v>874715</v>
      </c>
      <c r="C7" s="58">
        <v>865467</v>
      </c>
      <c r="D7" s="247">
        <f t="shared" si="0"/>
        <v>-0.010572586499602687</v>
      </c>
      <c r="E7" s="58">
        <v>826200</v>
      </c>
      <c r="F7" s="243">
        <f t="shared" si="2"/>
        <v>-0.009243488000612476</v>
      </c>
      <c r="G7" s="58">
        <v>877727</v>
      </c>
      <c r="H7" s="251">
        <v>870447</v>
      </c>
      <c r="I7" s="239">
        <f t="shared" si="3"/>
        <v>-0.008294150686944834</v>
      </c>
      <c r="J7" s="253">
        <f t="shared" si="1"/>
        <v>-0.003431590916082139</v>
      </c>
      <c r="K7" s="252">
        <f t="shared" si="4"/>
        <v>-0.002278435812657853</v>
      </c>
    </row>
    <row r="8" spans="1:11" ht="14.25">
      <c r="A8" s="248" t="s">
        <v>248</v>
      </c>
      <c r="B8" s="58">
        <v>769020</v>
      </c>
      <c r="C8" s="58">
        <v>779695</v>
      </c>
      <c r="D8" s="247">
        <f t="shared" si="0"/>
        <v>0.013881303477152773</v>
      </c>
      <c r="E8" s="58">
        <v>859237</v>
      </c>
      <c r="F8" s="243">
        <f t="shared" si="2"/>
        <v>0.019618353163154856</v>
      </c>
      <c r="G8" s="58">
        <v>765391</v>
      </c>
      <c r="H8" s="251">
        <v>784904</v>
      </c>
      <c r="I8" s="239">
        <f t="shared" si="3"/>
        <v>0.02549415919445086</v>
      </c>
      <c r="J8" s="253">
        <f t="shared" si="1"/>
        <v>0.004741367484070169</v>
      </c>
      <c r="K8" s="252">
        <f t="shared" si="4"/>
        <v>-0.011612855717298087</v>
      </c>
    </row>
    <row r="9" spans="1:11" ht="14.25">
      <c r="A9" s="248" t="s">
        <v>249</v>
      </c>
      <c r="B9" s="58">
        <v>467738</v>
      </c>
      <c r="C9" s="58">
        <v>491076</v>
      </c>
      <c r="D9" s="247">
        <f t="shared" si="0"/>
        <v>0.049895454292787855</v>
      </c>
      <c r="E9" s="58">
        <v>621774</v>
      </c>
      <c r="F9" s="243">
        <f t="shared" si="2"/>
        <v>0.048326995815547225</v>
      </c>
      <c r="G9" s="58">
        <v>477341</v>
      </c>
      <c r="H9" s="251">
        <v>493826</v>
      </c>
      <c r="I9" s="239">
        <f t="shared" si="3"/>
        <v>0.03453505984191585</v>
      </c>
      <c r="J9" s="253">
        <f t="shared" si="1"/>
        <v>-0.020117693640395395</v>
      </c>
      <c r="K9" s="252">
        <f t="shared" si="4"/>
        <v>0.015360394450872006</v>
      </c>
    </row>
    <row r="10" spans="1:11" ht="14.25">
      <c r="A10" s="248" t="s">
        <v>250</v>
      </c>
      <c r="B10" s="58">
        <v>232724</v>
      </c>
      <c r="C10" s="58">
        <v>236484</v>
      </c>
      <c r="D10" s="273">
        <f t="shared" si="0"/>
        <v>0.01615647720046054</v>
      </c>
      <c r="E10" s="274">
        <v>283559</v>
      </c>
      <c r="F10" s="275">
        <f t="shared" si="2"/>
        <v>0.03697511557273847</v>
      </c>
      <c r="G10" s="58">
        <v>233911</v>
      </c>
      <c r="H10" s="251">
        <v>232374</v>
      </c>
      <c r="I10" s="276">
        <f t="shared" si="3"/>
        <v>-0.006570875247423169</v>
      </c>
      <c r="J10" s="253">
        <f t="shared" si="1"/>
        <v>-0.00507457964781477</v>
      </c>
      <c r="K10" s="252">
        <f>D10-I10</f>
        <v>0.02272735244788371</v>
      </c>
    </row>
    <row r="11" spans="1:11" ht="14.25">
      <c r="A11" s="245" t="s">
        <v>4</v>
      </c>
      <c r="B11" s="58">
        <v>106370</v>
      </c>
      <c r="C11" s="58">
        <v>108681</v>
      </c>
      <c r="D11" s="247">
        <f t="shared" si="0"/>
        <v>0.021726050578170453</v>
      </c>
      <c r="E11" s="58">
        <v>114767</v>
      </c>
      <c r="F11" s="243">
        <f t="shared" si="2"/>
        <v>0.010956992991643322</v>
      </c>
      <c r="G11" s="58">
        <v>111008</v>
      </c>
      <c r="H11" s="251">
        <v>112774</v>
      </c>
      <c r="I11" s="239">
        <f t="shared" si="3"/>
        <v>0.015908763332372455</v>
      </c>
      <c r="J11" s="250">
        <f t="shared" si="1"/>
        <v>-0.0417807725569328</v>
      </c>
      <c r="K11" s="252">
        <f t="shared" si="4"/>
        <v>0.005817287245797997</v>
      </c>
    </row>
    <row r="12" spans="1:11" s="1" customFormat="1" ht="14.25">
      <c r="A12" s="37" t="s">
        <v>5</v>
      </c>
      <c r="B12" s="223">
        <f>SUM(B4:B11)</f>
        <v>5865906</v>
      </c>
      <c r="C12" s="244">
        <f>SUM(C4:C11)</f>
        <v>5906517</v>
      </c>
      <c r="D12" s="255">
        <f t="shared" si="0"/>
        <v>0.006923227204800098</v>
      </c>
      <c r="E12" s="244">
        <f>SUM(E4:E11)</f>
        <v>6231312</v>
      </c>
      <c r="F12" s="242">
        <f t="shared" si="2"/>
        <v>0.010763632935720135</v>
      </c>
      <c r="G12" s="223">
        <f>SUM(G4:G11)</f>
        <v>5976407</v>
      </c>
      <c r="H12" s="223">
        <f>SUM(H4:H11)</f>
        <v>6010141</v>
      </c>
      <c r="I12" s="255">
        <f t="shared" si="3"/>
        <v>0.005644528560387441</v>
      </c>
      <c r="J12" s="249">
        <f t="shared" si="1"/>
        <v>-0.018489537275490076</v>
      </c>
      <c r="K12" s="241">
        <f t="shared" si="4"/>
        <v>0.001278698644412657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Sule Calikoglu</cp:lastModifiedBy>
  <cp:lastPrinted>2015-07-15T13:55:46Z</cp:lastPrinted>
  <dcterms:created xsi:type="dcterms:W3CDTF">2013-10-24T16:21:21Z</dcterms:created>
  <dcterms:modified xsi:type="dcterms:W3CDTF">2015-07-17T19:34:25Z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